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0. 30 เม.ย. 67\"/>
    </mc:Choice>
  </mc:AlternateContent>
  <xr:revisionPtr revIDLastSave="0" documentId="13_ncr:1_{251C4513-F32B-42F8-AFBA-A6DF1FC6170A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M22" i="15"/>
  <c r="N22" i="15"/>
  <c r="O22" i="15"/>
  <c r="Q22" i="15"/>
  <c r="T22" i="15" s="1"/>
  <c r="R22" i="15"/>
  <c r="S22" i="15"/>
  <c r="L25" i="15"/>
  <c r="O25" i="15" s="1"/>
  <c r="M25" i="15"/>
  <c r="N25" i="15"/>
  <c r="Q25" i="15"/>
  <c r="T25" i="15" s="1"/>
  <c r="R25" i="15"/>
  <c r="U25" i="15" s="1"/>
  <c r="S25" i="15"/>
  <c r="S24" i="15" s="1"/>
  <c r="Q26" i="15"/>
  <c r="R26" i="15"/>
  <c r="S26" i="15"/>
  <c r="U26" i="15"/>
  <c r="L45" i="15"/>
  <c r="O45" i="15" s="1"/>
  <c r="M45" i="15"/>
  <c r="P45" i="15" s="1"/>
  <c r="N45" i="15"/>
  <c r="Q45" i="15"/>
  <c r="Q44" i="15" s="1"/>
  <c r="T44" i="15" s="1"/>
  <c r="R45" i="15"/>
  <c r="U45" i="15" s="1"/>
  <c r="S45" i="15"/>
  <c r="T45" i="15"/>
  <c r="Q46" i="15"/>
  <c r="R46" i="15"/>
  <c r="U46" i="15" s="1"/>
  <c r="S46" i="15"/>
  <c r="S44" i="15" s="1"/>
  <c r="T46" i="15"/>
  <c r="Q47" i="15"/>
  <c r="T47" i="15" s="1"/>
  <c r="R47" i="15"/>
  <c r="U47" i="15" s="1"/>
  <c r="S47" i="15"/>
  <c r="O48" i="15"/>
  <c r="P48" i="15"/>
  <c r="T48" i="15"/>
  <c r="U48" i="15"/>
  <c r="L49" i="15"/>
  <c r="L47" i="15" s="1"/>
  <c r="O47" i="15" s="1"/>
  <c r="M49" i="15"/>
  <c r="M47" i="15" s="1"/>
  <c r="N49" i="15"/>
  <c r="N47" i="15" s="1"/>
  <c r="T49" i="15"/>
  <c r="U49" i="15"/>
  <c r="Q50" i="15"/>
  <c r="T50" i="15" s="1"/>
  <c r="R50" i="15"/>
  <c r="S50" i="15"/>
  <c r="U50" i="15"/>
  <c r="O51" i="15"/>
  <c r="P51" i="15"/>
  <c r="T51" i="15"/>
  <c r="U51" i="15"/>
  <c r="L52" i="15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T60" i="15"/>
  <c r="Q61" i="15"/>
  <c r="R61" i="15"/>
  <c r="U61" i="15" s="1"/>
  <c r="S61" i="15"/>
  <c r="T61" i="15"/>
  <c r="Q62" i="15"/>
  <c r="T62" i="15" s="1"/>
  <c r="R62" i="15"/>
  <c r="U62" i="15" s="1"/>
  <c r="S62" i="15"/>
  <c r="O63" i="15"/>
  <c r="P63" i="15"/>
  <c r="T63" i="15"/>
  <c r="U63" i="15"/>
  <c r="L64" i="15"/>
  <c r="M64" i="15"/>
  <c r="M62" i="15" s="1"/>
  <c r="N64" i="15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O67" i="15" s="1"/>
  <c r="M67" i="15"/>
  <c r="N67" i="15"/>
  <c r="N65" i="15" s="1"/>
  <c r="T67" i="15"/>
  <c r="U67" i="15"/>
  <c r="L73" i="15"/>
  <c r="O73" i="15" s="1"/>
  <c r="M73" i="15"/>
  <c r="N73" i="15"/>
  <c r="P73" i="15"/>
  <c r="Q73" i="15"/>
  <c r="T73" i="15" s="1"/>
  <c r="R73" i="15"/>
  <c r="U73" i="15" s="1"/>
  <c r="S73" i="15"/>
  <c r="O76" i="15"/>
  <c r="P76" i="15"/>
  <c r="T76" i="15"/>
  <c r="U76" i="15"/>
  <c r="L77" i="15"/>
  <c r="M77" i="15"/>
  <c r="M75" i="15" s="1"/>
  <c r="N77" i="15"/>
  <c r="N75" i="15" s="1"/>
  <c r="Q77" i="15"/>
  <c r="Q74" i="15" s="1"/>
  <c r="R77" i="15"/>
  <c r="R74" i="15" s="1"/>
  <c r="S77" i="15"/>
  <c r="S75" i="15" s="1"/>
  <c r="Q78" i="15"/>
  <c r="R78" i="15"/>
  <c r="U78" i="15" s="1"/>
  <c r="S78" i="15"/>
  <c r="T78" i="15"/>
  <c r="O79" i="15"/>
  <c r="P79" i="15"/>
  <c r="T79" i="15"/>
  <c r="U79" i="15"/>
  <c r="L80" i="15"/>
  <c r="O80" i="15" s="1"/>
  <c r="M80" i="15"/>
  <c r="N80" i="15"/>
  <c r="N78" i="15" s="1"/>
  <c r="T80" i="15"/>
  <c r="U80" i="15"/>
  <c r="J82" i="15"/>
  <c r="J70" i="15" s="1"/>
  <c r="J83" i="15"/>
  <c r="J71" i="15" s="1"/>
  <c r="I84" i="15"/>
  <c r="K84" i="15" s="1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O95" i="15"/>
  <c r="Q95" i="15"/>
  <c r="T95" i="15" s="1"/>
  <c r="R95" i="15"/>
  <c r="S95" i="15"/>
  <c r="O98" i="15"/>
  <c r="P98" i="15"/>
  <c r="T98" i="15"/>
  <c r="U98" i="15"/>
  <c r="L99" i="15"/>
  <c r="M99" i="15"/>
  <c r="M97" i="15" s="1"/>
  <c r="P97" i="15" s="1"/>
  <c r="N99" i="15"/>
  <c r="N97" i="15" s="1"/>
  <c r="Q99" i="15"/>
  <c r="Q96" i="15" s="1"/>
  <c r="R99" i="15"/>
  <c r="R96" i="15" s="1"/>
  <c r="S99" i="15"/>
  <c r="S96" i="15" s="1"/>
  <c r="S94" i="15" s="1"/>
  <c r="Q100" i="15"/>
  <c r="T100" i="15" s="1"/>
  <c r="R100" i="15"/>
  <c r="S100" i="15"/>
  <c r="U100" i="15"/>
  <c r="O101" i="15"/>
  <c r="P101" i="15"/>
  <c r="T101" i="15"/>
  <c r="U101" i="15"/>
  <c r="L102" i="15"/>
  <c r="L100" i="15" s="1"/>
  <c r="O100" i="15" s="1"/>
  <c r="M102" i="15"/>
  <c r="P102" i="15" s="1"/>
  <c r="N102" i="15"/>
  <c r="N100" i="15" s="1"/>
  <c r="T102" i="15"/>
  <c r="U102" i="15"/>
  <c r="I108" i="15"/>
  <c r="K108" i="15" s="1"/>
  <c r="I109" i="15"/>
  <c r="I93" i="15" s="1"/>
  <c r="K93" i="15" s="1"/>
  <c r="I113" i="15"/>
  <c r="K113" i="15" s="1"/>
  <c r="I114" i="15"/>
  <c r="K114" i="15" s="1"/>
  <c r="J116" i="15"/>
  <c r="L118" i="15"/>
  <c r="M118" i="15"/>
  <c r="N118" i="15"/>
  <c r="O118" i="15"/>
  <c r="Q118" i="15"/>
  <c r="T118" i="15" s="1"/>
  <c r="R118" i="15"/>
  <c r="S118" i="15"/>
  <c r="U118" i="15"/>
  <c r="O121" i="15"/>
  <c r="P121" i="15"/>
  <c r="T121" i="15"/>
  <c r="U121" i="15"/>
  <c r="L122" i="15"/>
  <c r="L120" i="15" s="1"/>
  <c r="O120" i="15" s="1"/>
  <c r="M122" i="15"/>
  <c r="P122" i="15" s="1"/>
  <c r="N122" i="15"/>
  <c r="Q122" i="15"/>
  <c r="Q119" i="15" s="1"/>
  <c r="R122" i="15"/>
  <c r="R120" i="15" s="1"/>
  <c r="S122" i="15"/>
  <c r="S120" i="15" s="1"/>
  <c r="Q123" i="15"/>
  <c r="T123" i="15" s="1"/>
  <c r="R123" i="15"/>
  <c r="S123" i="15"/>
  <c r="U123" i="15"/>
  <c r="O124" i="15"/>
  <c r="P124" i="15"/>
  <c r="T124" i="15"/>
  <c r="U124" i="15"/>
  <c r="L125" i="15"/>
  <c r="L123" i="15" s="1"/>
  <c r="O123" i="15" s="1"/>
  <c r="M125" i="15"/>
  <c r="N125" i="15"/>
  <c r="N123" i="15" s="1"/>
  <c r="T125" i="15"/>
  <c r="U125" i="15"/>
  <c r="I127" i="15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P140" i="15" s="1"/>
  <c r="N140" i="15"/>
  <c r="Q140" i="15"/>
  <c r="R140" i="15"/>
  <c r="S140" i="15"/>
  <c r="U140" i="15"/>
  <c r="O143" i="15"/>
  <c r="P143" i="15"/>
  <c r="T143" i="15"/>
  <c r="U143" i="15"/>
  <c r="L144" i="15"/>
  <c r="M144" i="15"/>
  <c r="N144" i="15"/>
  <c r="Q144" i="15"/>
  <c r="Q141" i="15" s="1"/>
  <c r="T141" i="15" s="1"/>
  <c r="R144" i="15"/>
  <c r="R141" i="15" s="1"/>
  <c r="S144" i="15"/>
  <c r="S141" i="15" s="1"/>
  <c r="Q145" i="15"/>
  <c r="T145" i="15" s="1"/>
  <c r="R145" i="15"/>
  <c r="U145" i="15" s="1"/>
  <c r="S145" i="15"/>
  <c r="O146" i="15"/>
  <c r="P146" i="15"/>
  <c r="T146" i="15"/>
  <c r="U146" i="15"/>
  <c r="L147" i="15"/>
  <c r="O147" i="15" s="1"/>
  <c r="M147" i="15"/>
  <c r="N147" i="15"/>
  <c r="N145" i="15" s="1"/>
  <c r="T147" i="15"/>
  <c r="U147" i="15"/>
  <c r="I150" i="15"/>
  <c r="K150" i="15" s="1"/>
  <c r="I151" i="15"/>
  <c r="K151" i="15" s="1"/>
  <c r="I152" i="15"/>
  <c r="I153" i="15"/>
  <c r="K153" i="15" s="1"/>
  <c r="I154" i="15"/>
  <c r="K154" i="15" s="1"/>
  <c r="J156" i="15"/>
  <c r="L158" i="15"/>
  <c r="O158" i="15" s="1"/>
  <c r="M158" i="15"/>
  <c r="P158" i="15" s="1"/>
  <c r="N158" i="15"/>
  <c r="Q158" i="15"/>
  <c r="R158" i="15"/>
  <c r="S158" i="15"/>
  <c r="U158" i="15"/>
  <c r="O161" i="15"/>
  <c r="P161" i="15"/>
  <c r="T161" i="15"/>
  <c r="U161" i="15"/>
  <c r="L162" i="15"/>
  <c r="M162" i="15"/>
  <c r="N162" i="15"/>
  <c r="Q162" i="15"/>
  <c r="T162" i="15" s="1"/>
  <c r="R162" i="15"/>
  <c r="S162" i="15"/>
  <c r="S159" i="15" s="1"/>
  <c r="Q163" i="15"/>
  <c r="T163" i="15" s="1"/>
  <c r="R163" i="15"/>
  <c r="S163" i="15"/>
  <c r="U163" i="15"/>
  <c r="O164" i="15"/>
  <c r="P164" i="15"/>
  <c r="T164" i="15"/>
  <c r="U164" i="15"/>
  <c r="L165" i="15"/>
  <c r="L163" i="15" s="1"/>
  <c r="O163" i="15" s="1"/>
  <c r="M165" i="15"/>
  <c r="N165" i="15"/>
  <c r="N163" i="15" s="1"/>
  <c r="T165" i="15"/>
  <c r="U165" i="15"/>
  <c r="I167" i="15"/>
  <c r="K167" i="15" s="1"/>
  <c r="J172" i="15"/>
  <c r="L174" i="15"/>
  <c r="M174" i="15"/>
  <c r="P174" i="15" s="1"/>
  <c r="N174" i="15"/>
  <c r="O174" i="15"/>
  <c r="Q174" i="15"/>
  <c r="R174" i="15"/>
  <c r="S174" i="15"/>
  <c r="O177" i="15"/>
  <c r="P177" i="15"/>
  <c r="T177" i="15"/>
  <c r="U177" i="15"/>
  <c r="L178" i="15"/>
  <c r="M178" i="15"/>
  <c r="M176" i="15" s="1"/>
  <c r="N178" i="15"/>
  <c r="Q178" i="15"/>
  <c r="Q176" i="15" s="1"/>
  <c r="T176" i="15" s="1"/>
  <c r="R178" i="15"/>
  <c r="R176" i="15" s="1"/>
  <c r="U176" i="15" s="1"/>
  <c r="S178" i="15"/>
  <c r="Q179" i="15"/>
  <c r="T179" i="15" s="1"/>
  <c r="R179" i="15"/>
  <c r="S179" i="15"/>
  <c r="U179" i="15"/>
  <c r="O180" i="15"/>
  <c r="P180" i="15"/>
  <c r="T180" i="15"/>
  <c r="U180" i="15"/>
  <c r="L181" i="15"/>
  <c r="L179" i="15" s="1"/>
  <c r="O179" i="15" s="1"/>
  <c r="M181" i="15"/>
  <c r="N181" i="15"/>
  <c r="N179" i="15" s="1"/>
  <c r="T181" i="15"/>
  <c r="U181" i="15"/>
  <c r="I183" i="15"/>
  <c r="I172" i="15" s="1"/>
  <c r="K184" i="15"/>
  <c r="L187" i="15"/>
  <c r="M187" i="15"/>
  <c r="N187" i="15"/>
  <c r="Q187" i="15"/>
  <c r="T187" i="15" s="1"/>
  <c r="R187" i="15"/>
  <c r="U187" i="15" s="1"/>
  <c r="S187" i="15"/>
  <c r="O190" i="15"/>
  <c r="P190" i="15"/>
  <c r="T190" i="15"/>
  <c r="U190" i="15"/>
  <c r="L191" i="15"/>
  <c r="M191" i="15"/>
  <c r="M189" i="15" s="1"/>
  <c r="N191" i="15"/>
  <c r="N189" i="15" s="1"/>
  <c r="Q191" i="15"/>
  <c r="Q188" i="15" s="1"/>
  <c r="R191" i="15"/>
  <c r="S191" i="15"/>
  <c r="S188" i="15" s="1"/>
  <c r="Q192" i="15"/>
  <c r="T192" i="15" s="1"/>
  <c r="R192" i="15"/>
  <c r="U192" i="15" s="1"/>
  <c r="S192" i="15"/>
  <c r="O193" i="15"/>
  <c r="P193" i="15"/>
  <c r="T193" i="15"/>
  <c r="U193" i="15"/>
  <c r="L194" i="15"/>
  <c r="O194" i="15" s="1"/>
  <c r="M194" i="15"/>
  <c r="M192" i="15" s="1"/>
  <c r="P192" i="15" s="1"/>
  <c r="N194" i="15"/>
  <c r="N192" i="15" s="1"/>
  <c r="T194" i="15"/>
  <c r="U194" i="15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K209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K220" i="15" s="1"/>
  <c r="J221" i="15"/>
  <c r="N222" i="15"/>
  <c r="P222" i="15"/>
  <c r="L223" i="15"/>
  <c r="L224" i="15"/>
  <c r="L225" i="15"/>
  <c r="I228" i="15"/>
  <c r="K228" i="15" s="1"/>
  <c r="I229" i="15"/>
  <c r="I230" i="15"/>
  <c r="K230" i="15" s="1"/>
  <c r="N233" i="15"/>
  <c r="N234" i="15"/>
  <c r="N235" i="15"/>
  <c r="N236" i="15"/>
  <c r="J238" i="15"/>
  <c r="I240" i="15"/>
  <c r="K240" i="15" s="1"/>
  <c r="J240" i="15"/>
  <c r="I241" i="15"/>
  <c r="K241" i="15" s="1"/>
  <c r="J241" i="15"/>
  <c r="J242" i="15"/>
  <c r="J231" i="15" s="1"/>
  <c r="J185" i="15" s="1"/>
  <c r="N243" i="15"/>
  <c r="P243" i="15"/>
  <c r="L244" i="15"/>
  <c r="L245" i="15"/>
  <c r="L246" i="15"/>
  <c r="L247" i="15"/>
  <c r="I249" i="15"/>
  <c r="K251" i="15"/>
  <c r="K252" i="15"/>
  <c r="J253" i="15"/>
  <c r="N254" i="15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M267" i="15"/>
  <c r="P267" i="15" s="1"/>
  <c r="N267" i="15"/>
  <c r="O267" i="15"/>
  <c r="Q267" i="15"/>
  <c r="R267" i="15"/>
  <c r="S267" i="15"/>
  <c r="T267" i="15"/>
  <c r="U267" i="15"/>
  <c r="O270" i="15"/>
  <c r="P270" i="15"/>
  <c r="T270" i="15"/>
  <c r="U270" i="15"/>
  <c r="L271" i="15"/>
  <c r="M271" i="15"/>
  <c r="M269" i="15" s="1"/>
  <c r="N271" i="15"/>
  <c r="Q271" i="15"/>
  <c r="Q268" i="15" s="1"/>
  <c r="R271" i="15"/>
  <c r="S271" i="15"/>
  <c r="S268" i="15" s="1"/>
  <c r="S266" i="15" s="1"/>
  <c r="Q272" i="15"/>
  <c r="R272" i="15"/>
  <c r="U272" i="15" s="1"/>
  <c r="S272" i="15"/>
  <c r="T272" i="15"/>
  <c r="O273" i="15"/>
  <c r="P273" i="15"/>
  <c r="T273" i="15"/>
  <c r="U273" i="15"/>
  <c r="L274" i="15"/>
  <c r="O274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0" i="15"/>
  <c r="J281" i="15"/>
  <c r="L283" i="15"/>
  <c r="M283" i="15"/>
  <c r="P283" i="15" s="1"/>
  <c r="N283" i="15"/>
  <c r="O283" i="15"/>
  <c r="Q283" i="15"/>
  <c r="R283" i="15"/>
  <c r="R282" i="15" s="1"/>
  <c r="U282" i="15" s="1"/>
  <c r="S283" i="15"/>
  <c r="Q284" i="15"/>
  <c r="T284" i="15" s="1"/>
  <c r="R284" i="15"/>
  <c r="U284" i="15" s="1"/>
  <c r="S284" i="15"/>
  <c r="Q285" i="15"/>
  <c r="R285" i="15"/>
  <c r="U285" i="15" s="1"/>
  <c r="S285" i="15"/>
  <c r="T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O290" i="15" s="1"/>
  <c r="M290" i="15"/>
  <c r="N290" i="15"/>
  <c r="N288" i="15" s="1"/>
  <c r="T290" i="15"/>
  <c r="U290" i="15"/>
  <c r="I292" i="15"/>
  <c r="I281" i="15" s="1"/>
  <c r="K281" i="15" s="1"/>
  <c r="I293" i="15"/>
  <c r="J293" i="15"/>
  <c r="I295" i="15"/>
  <c r="K295" i="15" s="1"/>
  <c r="I296" i="15"/>
  <c r="K296" i="15" s="1"/>
  <c r="J302" i="15"/>
  <c r="L304" i="15"/>
  <c r="M304" i="15"/>
  <c r="N304" i="15"/>
  <c r="O304" i="15"/>
  <c r="Q304" i="15"/>
  <c r="T304" i="15" s="1"/>
  <c r="R304" i="15"/>
  <c r="S304" i="15"/>
  <c r="U304" i="15"/>
  <c r="O307" i="15"/>
  <c r="P307" i="15"/>
  <c r="T307" i="15"/>
  <c r="U307" i="15"/>
  <c r="L308" i="15"/>
  <c r="L306" i="15" s="1"/>
  <c r="M308" i="15"/>
  <c r="N308" i="15"/>
  <c r="N306" i="15" s="1"/>
  <c r="Q308" i="15"/>
  <c r="Q305" i="15" s="1"/>
  <c r="R308" i="15"/>
  <c r="R305" i="15" s="1"/>
  <c r="S308" i="15"/>
  <c r="S305" i="15" s="1"/>
  <c r="Q309" i="15"/>
  <c r="T309" i="15" s="1"/>
  <c r="R309" i="15"/>
  <c r="S309" i="15"/>
  <c r="U309" i="15"/>
  <c r="O310" i="15"/>
  <c r="P310" i="15"/>
  <c r="T310" i="15"/>
  <c r="U310" i="15"/>
  <c r="L311" i="15"/>
  <c r="L309" i="15" s="1"/>
  <c r="O309" i="15" s="1"/>
  <c r="M311" i="15"/>
  <c r="N311" i="15"/>
  <c r="N309" i="15" s="1"/>
  <c r="T311" i="15"/>
  <c r="U311" i="15"/>
  <c r="I314" i="15"/>
  <c r="K314" i="15" s="1"/>
  <c r="J319" i="15"/>
  <c r="L321" i="15"/>
  <c r="O321" i="15" s="1"/>
  <c r="M321" i="15"/>
  <c r="P321" i="15" s="1"/>
  <c r="N321" i="15"/>
  <c r="Q321" i="15"/>
  <c r="T321" i="15" s="1"/>
  <c r="R321" i="15"/>
  <c r="R320" i="15" s="1"/>
  <c r="U320" i="15" s="1"/>
  <c r="S321" i="15"/>
  <c r="U321" i="15"/>
  <c r="Q322" i="15"/>
  <c r="T322" i="15" s="1"/>
  <c r="R322" i="15"/>
  <c r="U322" i="15" s="1"/>
  <c r="S322" i="15"/>
  <c r="S320" i="15" s="1"/>
  <c r="Q323" i="15"/>
  <c r="T323" i="15" s="1"/>
  <c r="R323" i="15"/>
  <c r="U323" i="15" s="1"/>
  <c r="S323" i="15"/>
  <c r="O324" i="15"/>
  <c r="P324" i="15"/>
  <c r="T324" i="15"/>
  <c r="U324" i="15"/>
  <c r="L325" i="15"/>
  <c r="M325" i="15"/>
  <c r="M323" i="15" s="1"/>
  <c r="N325" i="15"/>
  <c r="N323" i="15" s="1"/>
  <c r="T325" i="15"/>
  <c r="U325" i="15"/>
  <c r="Q326" i="15"/>
  <c r="R326" i="15"/>
  <c r="U326" i="15" s="1"/>
  <c r="S326" i="15"/>
  <c r="T326" i="15"/>
  <c r="O327" i="15"/>
  <c r="P327" i="15"/>
  <c r="T327" i="15"/>
  <c r="U327" i="15"/>
  <c r="L328" i="15"/>
  <c r="O328" i="15" s="1"/>
  <c r="M328" i="15"/>
  <c r="N328" i="15"/>
  <c r="N326" i="15" s="1"/>
  <c r="T328" i="15"/>
  <c r="U328" i="15"/>
  <c r="I330" i="15"/>
  <c r="K330" i="15" s="1"/>
  <c r="S333" i="15"/>
  <c r="L334" i="15"/>
  <c r="M334" i="15"/>
  <c r="N334" i="15"/>
  <c r="O334" i="15"/>
  <c r="P334" i="15"/>
  <c r="Q334" i="15"/>
  <c r="R334" i="15"/>
  <c r="S334" i="15"/>
  <c r="U334" i="15"/>
  <c r="Q335" i="15"/>
  <c r="R335" i="15"/>
  <c r="U335" i="15" s="1"/>
  <c r="S335" i="15"/>
  <c r="T335" i="15"/>
  <c r="Q336" i="15"/>
  <c r="T336" i="15" s="1"/>
  <c r="R336" i="15"/>
  <c r="S336" i="15"/>
  <c r="U336" i="15"/>
  <c r="O337" i="15"/>
  <c r="P337" i="15"/>
  <c r="T337" i="15"/>
  <c r="U337" i="15"/>
  <c r="L338" i="15"/>
  <c r="L336" i="15" s="1"/>
  <c r="M338" i="15"/>
  <c r="M336" i="15" s="1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O341" i="15" s="1"/>
  <c r="M341" i="15"/>
  <c r="P341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L357" i="15"/>
  <c r="M357" i="15"/>
  <c r="P357" i="15" s="1"/>
  <c r="N357" i="15"/>
  <c r="O357" i="15"/>
  <c r="Q357" i="15"/>
  <c r="T357" i="15" s="1"/>
  <c r="R357" i="15"/>
  <c r="S357" i="15"/>
  <c r="S356" i="15" s="1"/>
  <c r="U357" i="15"/>
  <c r="Q358" i="15"/>
  <c r="T358" i="15" s="1"/>
  <c r="R358" i="15"/>
  <c r="U358" i="15" s="1"/>
  <c r="S358" i="15"/>
  <c r="Q359" i="15"/>
  <c r="T359" i="15" s="1"/>
  <c r="R359" i="15"/>
  <c r="U359" i="15" s="1"/>
  <c r="S359" i="15"/>
  <c r="O360" i="15"/>
  <c r="P360" i="15"/>
  <c r="T360" i="15"/>
  <c r="U360" i="15"/>
  <c r="L361" i="15"/>
  <c r="M361" i="15"/>
  <c r="M359" i="15" s="1"/>
  <c r="N361" i="15"/>
  <c r="T361" i="15"/>
  <c r="U361" i="15"/>
  <c r="Q362" i="15"/>
  <c r="T362" i="15" s="1"/>
  <c r="R362" i="15"/>
  <c r="S362" i="15"/>
  <c r="U362" i="15"/>
  <c r="O363" i="15"/>
  <c r="P363" i="15"/>
  <c r="T363" i="15"/>
  <c r="U363" i="15"/>
  <c r="L364" i="15"/>
  <c r="L362" i="15" s="1"/>
  <c r="O362" i="15" s="1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N375" i="15"/>
  <c r="L376" i="15"/>
  <c r="M376" i="15"/>
  <c r="N376" i="15"/>
  <c r="P376" i="15"/>
  <c r="Q376" i="15"/>
  <c r="R376" i="15"/>
  <c r="S376" i="15"/>
  <c r="L377" i="15"/>
  <c r="O377" i="15" s="1"/>
  <c r="M377" i="15"/>
  <c r="P377" i="15" s="1"/>
  <c r="N377" i="15"/>
  <c r="L378" i="15"/>
  <c r="M378" i="15"/>
  <c r="N378" i="15"/>
  <c r="O378" i="15"/>
  <c r="P378" i="15"/>
  <c r="O379" i="15"/>
  <c r="P379" i="15"/>
  <c r="T379" i="15"/>
  <c r="U379" i="15"/>
  <c r="O380" i="15"/>
  <c r="P380" i="15"/>
  <c r="Q380" i="15"/>
  <c r="R380" i="15"/>
  <c r="R378" i="15" s="1"/>
  <c r="S380" i="15"/>
  <c r="S378" i="15" s="1"/>
  <c r="L381" i="15"/>
  <c r="O381" i="15" s="1"/>
  <c r="M381" i="15"/>
  <c r="P381" i="15" s="1"/>
  <c r="N381" i="15"/>
  <c r="Q381" i="15"/>
  <c r="T381" i="15" s="1"/>
  <c r="R381" i="15"/>
  <c r="U381" i="15" s="1"/>
  <c r="S381" i="15"/>
  <c r="O382" i="15"/>
  <c r="P382" i="15"/>
  <c r="T382" i="15"/>
  <c r="U382" i="15"/>
  <c r="O383" i="15"/>
  <c r="P383" i="15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2" i="15"/>
  <c r="O392" i="15" s="1"/>
  <c r="L393" i="15"/>
  <c r="O393" i="15" s="1"/>
  <c r="M393" i="15"/>
  <c r="N393" i="15"/>
  <c r="Q393" i="15"/>
  <c r="R393" i="15"/>
  <c r="U393" i="15" s="1"/>
  <c r="S393" i="15"/>
  <c r="L394" i="15"/>
  <c r="O394" i="15" s="1"/>
  <c r="M394" i="15"/>
  <c r="P394" i="15" s="1"/>
  <c r="N394" i="15"/>
  <c r="Q394" i="15"/>
  <c r="R394" i="15"/>
  <c r="U394" i="15" s="1"/>
  <c r="S394" i="15"/>
  <c r="T394" i="15"/>
  <c r="L395" i="15"/>
  <c r="O395" i="15" s="1"/>
  <c r="M395" i="15"/>
  <c r="P395" i="15" s="1"/>
  <c r="N395" i="15"/>
  <c r="Q395" i="15"/>
  <c r="T395" i="15" s="1"/>
  <c r="R395" i="15"/>
  <c r="U395" i="15" s="1"/>
  <c r="S395" i="15"/>
  <c r="O396" i="15"/>
  <c r="P396" i="15"/>
  <c r="T396" i="15"/>
  <c r="U396" i="15"/>
  <c r="O397" i="15"/>
  <c r="P397" i="15"/>
  <c r="T397" i="15"/>
  <c r="U397" i="15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N413" i="15"/>
  <c r="L414" i="15"/>
  <c r="M414" i="15"/>
  <c r="N414" i="15"/>
  <c r="P414" i="15"/>
  <c r="Q414" i="15"/>
  <c r="R414" i="15"/>
  <c r="U414" i="15" s="1"/>
  <c r="S414" i="15"/>
  <c r="L415" i="15"/>
  <c r="O415" i="15" s="1"/>
  <c r="M415" i="15"/>
  <c r="P415" i="15" s="1"/>
  <c r="N415" i="15"/>
  <c r="L416" i="15"/>
  <c r="M416" i="15"/>
  <c r="P416" i="15" s="1"/>
  <c r="N416" i="15"/>
  <c r="O416" i="15"/>
  <c r="O417" i="15"/>
  <c r="P417" i="15"/>
  <c r="T417" i="15"/>
  <c r="U417" i="15"/>
  <c r="O418" i="15"/>
  <c r="P418" i="15"/>
  <c r="Q418" i="15"/>
  <c r="Q416" i="15" s="1"/>
  <c r="T416" i="15" s="1"/>
  <c r="R418" i="15"/>
  <c r="R416" i="15" s="1"/>
  <c r="U416" i="15" s="1"/>
  <c r="S418" i="15"/>
  <c r="S416" i="15" s="1"/>
  <c r="L419" i="15"/>
  <c r="O419" i="15" s="1"/>
  <c r="M419" i="15"/>
  <c r="P419" i="15" s="1"/>
  <c r="N419" i="15"/>
  <c r="Q419" i="15"/>
  <c r="T419" i="15" s="1"/>
  <c r="R419" i="15"/>
  <c r="U419" i="15" s="1"/>
  <c r="S419" i="15"/>
  <c r="O420" i="15"/>
  <c r="P420" i="15"/>
  <c r="T420" i="15"/>
  <c r="U420" i="15"/>
  <c r="O421" i="15"/>
  <c r="P421" i="15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I423" i="15" s="1"/>
  <c r="I441" i="15"/>
  <c r="K441" i="15" s="1"/>
  <c r="J446" i="15"/>
  <c r="J440" i="15" s="1"/>
  <c r="J423" i="15" s="1"/>
  <c r="J412" i="15" s="1"/>
  <c r="J447" i="15"/>
  <c r="J441" i="15" s="1"/>
  <c r="I457" i="15"/>
  <c r="I456" i="15" s="1"/>
  <c r="K456" i="15" s="1"/>
  <c r="I458" i="15"/>
  <c r="K458" i="15" s="1"/>
  <c r="J459" i="15"/>
  <c r="J460" i="15"/>
  <c r="J467" i="15"/>
  <c r="J468" i="15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K485" i="15" s="1"/>
  <c r="J485" i="15"/>
  <c r="L494" i="15"/>
  <c r="L493" i="15" s="1"/>
  <c r="O493" i="15" s="1"/>
  <c r="M494" i="15"/>
  <c r="P494" i="15" s="1"/>
  <c r="N494" i="15"/>
  <c r="N493" i="15" s="1"/>
  <c r="Q494" i="15"/>
  <c r="R494" i="15"/>
  <c r="S494" i="15"/>
  <c r="T494" i="15"/>
  <c r="U494" i="15"/>
  <c r="L495" i="15"/>
  <c r="M495" i="15"/>
  <c r="N495" i="15"/>
  <c r="O495" i="15"/>
  <c r="P495" i="15"/>
  <c r="L496" i="15"/>
  <c r="O496" i="15" s="1"/>
  <c r="M496" i="15"/>
  <c r="P496" i="15" s="1"/>
  <c r="N496" i="15"/>
  <c r="O497" i="15"/>
  <c r="P497" i="15"/>
  <c r="T497" i="15"/>
  <c r="U497" i="15"/>
  <c r="O498" i="15"/>
  <c r="P498" i="15"/>
  <c r="Q498" i="15"/>
  <c r="Q495" i="15" s="1"/>
  <c r="R498" i="15"/>
  <c r="R496" i="15" s="1"/>
  <c r="S498" i="15"/>
  <c r="S495" i="15" s="1"/>
  <c r="L499" i="15"/>
  <c r="O499" i="15" s="1"/>
  <c r="M499" i="15"/>
  <c r="P499" i="15" s="1"/>
  <c r="N499" i="15"/>
  <c r="Q499" i="15"/>
  <c r="T499" i="15" s="1"/>
  <c r="R499" i="15"/>
  <c r="U499" i="15" s="1"/>
  <c r="S499" i="15"/>
  <c r="O500" i="15"/>
  <c r="P500" i="15"/>
  <c r="T500" i="15"/>
  <c r="U500" i="15"/>
  <c r="O501" i="15"/>
  <c r="P501" i="15"/>
  <c r="T501" i="15"/>
  <c r="U501" i="15"/>
  <c r="I503" i="15"/>
  <c r="I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L514" i="15"/>
  <c r="O514" i="15" s="1"/>
  <c r="M514" i="15"/>
  <c r="N514" i="15"/>
  <c r="Q514" i="15"/>
  <c r="R514" i="15"/>
  <c r="U514" i="15" s="1"/>
  <c r="S514" i="15"/>
  <c r="S513" i="15" s="1"/>
  <c r="T514" i="15"/>
  <c r="Q515" i="15"/>
  <c r="T515" i="15" s="1"/>
  <c r="R515" i="15"/>
  <c r="S515" i="15"/>
  <c r="U515" i="15"/>
  <c r="Q516" i="15"/>
  <c r="T516" i="15" s="1"/>
  <c r="R516" i="15"/>
  <c r="U516" i="15" s="1"/>
  <c r="S516" i="15"/>
  <c r="O517" i="15"/>
  <c r="P517" i="15"/>
  <c r="T517" i="15"/>
  <c r="U517" i="15"/>
  <c r="L518" i="15"/>
  <c r="O518" i="15" s="1"/>
  <c r="M518" i="15"/>
  <c r="M516" i="15" s="1"/>
  <c r="P516" i="15" s="1"/>
  <c r="N518" i="15"/>
  <c r="N516" i="15" s="1"/>
  <c r="T518" i="15"/>
  <c r="U518" i="15"/>
  <c r="Q519" i="15"/>
  <c r="R519" i="15"/>
  <c r="U519" i="15" s="1"/>
  <c r="S519" i="15"/>
  <c r="T519" i="15"/>
  <c r="O520" i="15"/>
  <c r="P520" i="15"/>
  <c r="T520" i="15"/>
  <c r="U520" i="15"/>
  <c r="L521" i="15"/>
  <c r="O521" i="15" s="1"/>
  <c r="M521" i="15"/>
  <c r="P521" i="15" s="1"/>
  <c r="N521" i="15"/>
  <c r="N519" i="15" s="1"/>
  <c r="T521" i="15"/>
  <c r="U521" i="15"/>
  <c r="K523" i="15"/>
  <c r="K524" i="15"/>
  <c r="I533" i="15"/>
  <c r="K533" i="15" s="1"/>
  <c r="J533" i="15"/>
  <c r="L535" i="15"/>
  <c r="O535" i="15" s="1"/>
  <c r="M535" i="15"/>
  <c r="P535" i="15" s="1"/>
  <c r="N535" i="15"/>
  <c r="N534" i="15" s="1"/>
  <c r="Q535" i="15"/>
  <c r="T535" i="15" s="1"/>
  <c r="R535" i="15"/>
  <c r="S535" i="15"/>
  <c r="S534" i="15" s="1"/>
  <c r="U535" i="15"/>
  <c r="L536" i="15"/>
  <c r="M536" i="15"/>
  <c r="P536" i="15" s="1"/>
  <c r="N536" i="15"/>
  <c r="O536" i="15"/>
  <c r="Q536" i="15"/>
  <c r="R536" i="15"/>
  <c r="U536" i="15" s="1"/>
  <c r="S536" i="15"/>
  <c r="L537" i="15"/>
  <c r="O537" i="15" s="1"/>
  <c r="M537" i="15"/>
  <c r="P537" i="15" s="1"/>
  <c r="N537" i="15"/>
  <c r="Q537" i="15"/>
  <c r="T537" i="15" s="1"/>
  <c r="R537" i="15"/>
  <c r="U537" i="15" s="1"/>
  <c r="S537" i="15"/>
  <c r="O538" i="15"/>
  <c r="P538" i="15"/>
  <c r="T538" i="15"/>
  <c r="U538" i="15"/>
  <c r="O539" i="15"/>
  <c r="P539" i="15"/>
  <c r="T539" i="15"/>
  <c r="U539" i="15"/>
  <c r="L540" i="15"/>
  <c r="O540" i="15" s="1"/>
  <c r="M540" i="15"/>
  <c r="P540" i="15" s="1"/>
  <c r="N540" i="15"/>
  <c r="Q540" i="15"/>
  <c r="T540" i="15" s="1"/>
  <c r="R540" i="15"/>
  <c r="U540" i="15" s="1"/>
  <c r="S540" i="15"/>
  <c r="O541" i="15"/>
  <c r="P541" i="15"/>
  <c r="T541" i="15"/>
  <c r="U541" i="15"/>
  <c r="O542" i="15"/>
  <c r="P542" i="15"/>
  <c r="T542" i="15"/>
  <c r="U542" i="15"/>
  <c r="I554" i="15"/>
  <c r="K554" i="15" s="1"/>
  <c r="J554" i="15"/>
  <c r="L556" i="15"/>
  <c r="M556" i="15"/>
  <c r="N556" i="15"/>
  <c r="O556" i="15"/>
  <c r="P556" i="15"/>
  <c r="Q556" i="15"/>
  <c r="R556" i="15"/>
  <c r="S556" i="15"/>
  <c r="S555" i="15" s="1"/>
  <c r="U556" i="15"/>
  <c r="L557" i="15"/>
  <c r="O557" i="15" s="1"/>
  <c r="M557" i="15"/>
  <c r="P557" i="15" s="1"/>
  <c r="N557" i="15"/>
  <c r="Q557" i="15"/>
  <c r="R557" i="15"/>
  <c r="U557" i="15" s="1"/>
  <c r="S557" i="15"/>
  <c r="T557" i="15"/>
  <c r="L558" i="15"/>
  <c r="O558" i="15" s="1"/>
  <c r="M558" i="15"/>
  <c r="N558" i="15"/>
  <c r="P558" i="15"/>
  <c r="Q558" i="15"/>
  <c r="T558" i="15" s="1"/>
  <c r="R558" i="15"/>
  <c r="U558" i="15" s="1"/>
  <c r="S558" i="15"/>
  <c r="O559" i="15"/>
  <c r="P559" i="15"/>
  <c r="T559" i="15"/>
  <c r="U559" i="15"/>
  <c r="O560" i="15"/>
  <c r="P560" i="15"/>
  <c r="T560" i="15"/>
  <c r="U560" i="15"/>
  <c r="L561" i="15"/>
  <c r="O561" i="15" s="1"/>
  <c r="M561" i="15"/>
  <c r="N561" i="15"/>
  <c r="P561" i="15"/>
  <c r="Q561" i="15"/>
  <c r="T561" i="15" s="1"/>
  <c r="R561" i="15"/>
  <c r="U561" i="15" s="1"/>
  <c r="S561" i="15"/>
  <c r="O562" i="15"/>
  <c r="P562" i="15"/>
  <c r="T562" i="15"/>
  <c r="U562" i="15"/>
  <c r="O563" i="15"/>
  <c r="P563" i="15"/>
  <c r="T563" i="15"/>
  <c r="U563" i="15"/>
  <c r="I575" i="15"/>
  <c r="K575" i="15" s="1"/>
  <c r="J575" i="15"/>
  <c r="L577" i="15"/>
  <c r="M577" i="15"/>
  <c r="P577" i="15" s="1"/>
  <c r="N577" i="15"/>
  <c r="Q577" i="15"/>
  <c r="Q576" i="15" s="1"/>
  <c r="T576" i="15" s="1"/>
  <c r="R577" i="15"/>
  <c r="U577" i="15" s="1"/>
  <c r="S577" i="15"/>
  <c r="T577" i="15"/>
  <c r="L578" i="15"/>
  <c r="M578" i="15"/>
  <c r="N578" i="15"/>
  <c r="O578" i="15"/>
  <c r="P578" i="15"/>
  <c r="Q578" i="15"/>
  <c r="T578" i="15" s="1"/>
  <c r="R578" i="15"/>
  <c r="S578" i="15"/>
  <c r="U578" i="15"/>
  <c r="L579" i="15"/>
  <c r="O579" i="15" s="1"/>
  <c r="M579" i="15"/>
  <c r="P579" i="15" s="1"/>
  <c r="N579" i="15"/>
  <c r="Q579" i="15"/>
  <c r="T579" i="15" s="1"/>
  <c r="R579" i="15"/>
  <c r="U579" i="15" s="1"/>
  <c r="S579" i="15"/>
  <c r="O580" i="15"/>
  <c r="P580" i="15"/>
  <c r="T580" i="15"/>
  <c r="U580" i="15"/>
  <c r="O581" i="15"/>
  <c r="P581" i="15"/>
  <c r="T581" i="15"/>
  <c r="U581" i="15"/>
  <c r="L582" i="15"/>
  <c r="O582" i="15" s="1"/>
  <c r="M582" i="15"/>
  <c r="N582" i="15"/>
  <c r="P582" i="15"/>
  <c r="Q582" i="15"/>
  <c r="T582" i="15" s="1"/>
  <c r="R582" i="15"/>
  <c r="U582" i="15" s="1"/>
  <c r="S582" i="15"/>
  <c r="O583" i="15"/>
  <c r="P583" i="15"/>
  <c r="T583" i="15"/>
  <c r="U583" i="15"/>
  <c r="O584" i="15"/>
  <c r="P584" i="15"/>
  <c r="T584" i="15"/>
  <c r="U584" i="15"/>
  <c r="L600" i="15"/>
  <c r="O600" i="15" s="1"/>
  <c r="M600" i="15"/>
  <c r="P600" i="15" s="1"/>
  <c r="N600" i="15"/>
  <c r="N599" i="15" s="1"/>
  <c r="Q600" i="15"/>
  <c r="R600" i="15"/>
  <c r="U600" i="15" s="1"/>
  <c r="S600" i="15"/>
  <c r="T600" i="15"/>
  <c r="L601" i="15"/>
  <c r="M601" i="15"/>
  <c r="P601" i="15" s="1"/>
  <c r="N601" i="15"/>
  <c r="O601" i="15"/>
  <c r="Q601" i="15"/>
  <c r="Q599" i="15" s="1"/>
  <c r="T599" i="15" s="1"/>
  <c r="R601" i="15"/>
  <c r="S601" i="15"/>
  <c r="U601" i="15"/>
  <c r="L602" i="15"/>
  <c r="O602" i="15" s="1"/>
  <c r="M602" i="15"/>
  <c r="N602" i="15"/>
  <c r="P602" i="15"/>
  <c r="Q602" i="15"/>
  <c r="T602" i="15" s="1"/>
  <c r="R602" i="15"/>
  <c r="U602" i="15" s="1"/>
  <c r="S602" i="15"/>
  <c r="O603" i="15"/>
  <c r="P603" i="15"/>
  <c r="T603" i="15"/>
  <c r="U603" i="15"/>
  <c r="O604" i="15"/>
  <c r="P604" i="15"/>
  <c r="T604" i="15"/>
  <c r="U604" i="15"/>
  <c r="L605" i="15"/>
  <c r="O605" i="15" s="1"/>
  <c r="M605" i="15"/>
  <c r="P605" i="15" s="1"/>
  <c r="N605" i="15"/>
  <c r="Q605" i="15"/>
  <c r="R605" i="15"/>
  <c r="U605" i="15" s="1"/>
  <c r="S605" i="15"/>
  <c r="T605" i="15"/>
  <c r="O606" i="15"/>
  <c r="P606" i="15"/>
  <c r="T606" i="15"/>
  <c r="U606" i="15"/>
  <c r="O607" i="15"/>
  <c r="P607" i="15"/>
  <c r="T607" i="15"/>
  <c r="U607" i="15"/>
  <c r="L617" i="15"/>
  <c r="M617" i="15"/>
  <c r="P617" i="15" s="1"/>
  <c r="N617" i="15"/>
  <c r="O617" i="15"/>
  <c r="Q617" i="15"/>
  <c r="T617" i="15" s="1"/>
  <c r="R617" i="15"/>
  <c r="U617" i="15" s="1"/>
  <c r="S617" i="15"/>
  <c r="L618" i="15"/>
  <c r="O618" i="15" s="1"/>
  <c r="M618" i="15"/>
  <c r="P618" i="15" s="1"/>
  <c r="N618" i="15"/>
  <c r="N616" i="15" s="1"/>
  <c r="L619" i="15"/>
  <c r="O619" i="15" s="1"/>
  <c r="M619" i="15"/>
  <c r="N619" i="15"/>
  <c r="P619" i="15"/>
  <c r="O620" i="15"/>
  <c r="P620" i="15"/>
  <c r="T620" i="15"/>
  <c r="U620" i="15"/>
  <c r="O621" i="15"/>
  <c r="P621" i="15"/>
  <c r="Q621" i="15"/>
  <c r="R621" i="15"/>
  <c r="R619" i="15" s="1"/>
  <c r="S621" i="15"/>
  <c r="S618" i="15" s="1"/>
  <c r="L622" i="15"/>
  <c r="O622" i="15" s="1"/>
  <c r="M622" i="15"/>
  <c r="P622" i="15" s="1"/>
  <c r="N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O643" i="15" s="1"/>
  <c r="M643" i="15"/>
  <c r="P643" i="15" s="1"/>
  <c r="N643" i="15"/>
  <c r="N642" i="15" s="1"/>
  <c r="Q643" i="15"/>
  <c r="R643" i="15"/>
  <c r="S643" i="15"/>
  <c r="U643" i="15"/>
  <c r="L644" i="15"/>
  <c r="O644" i="15" s="1"/>
  <c r="M644" i="15"/>
  <c r="P644" i="15" s="1"/>
  <c r="N644" i="15"/>
  <c r="L645" i="15"/>
  <c r="M645" i="15"/>
  <c r="P645" i="15" s="1"/>
  <c r="N645" i="15"/>
  <c r="O645" i="15"/>
  <c r="O646" i="15"/>
  <c r="P646" i="15"/>
  <c r="T646" i="15"/>
  <c r="U646" i="15"/>
  <c r="O647" i="15"/>
  <c r="P647" i="15"/>
  <c r="Q647" i="15"/>
  <c r="Q645" i="15" s="1"/>
  <c r="T645" i="15" s="1"/>
  <c r="R647" i="15"/>
  <c r="U647" i="15" s="1"/>
  <c r="S647" i="15"/>
  <c r="S645" i="15" s="1"/>
  <c r="L648" i="15"/>
  <c r="M648" i="15"/>
  <c r="P648" i="15" s="1"/>
  <c r="N648" i="15"/>
  <c r="O648" i="15"/>
  <c r="Q648" i="15"/>
  <c r="T648" i="15" s="1"/>
  <c r="R648" i="15"/>
  <c r="S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N691" i="15"/>
  <c r="Q691" i="15"/>
  <c r="T691" i="15" s="1"/>
  <c r="R691" i="15"/>
  <c r="U691" i="15" s="1"/>
  <c r="S691" i="15"/>
  <c r="L692" i="15"/>
  <c r="O692" i="15" s="1"/>
  <c r="M692" i="15"/>
  <c r="P692" i="15" s="1"/>
  <c r="N692" i="15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3" i="15" s="1"/>
  <c r="R695" i="15"/>
  <c r="R692" i="15" s="1"/>
  <c r="S695" i="15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K703" i="15" s="1"/>
  <c r="J703" i="15"/>
  <c r="J704" i="15"/>
  <c r="K704" i="15"/>
  <c r="I705" i="15"/>
  <c r="J705" i="15"/>
  <c r="J706" i="15"/>
  <c r="K706" i="15"/>
  <c r="I707" i="15"/>
  <c r="K707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P715" i="15" s="1"/>
  <c r="N715" i="15"/>
  <c r="O715" i="15"/>
  <c r="Q715" i="15"/>
  <c r="R715" i="15"/>
  <c r="U715" i="15" s="1"/>
  <c r="S715" i="15"/>
  <c r="T715" i="15"/>
  <c r="L716" i="15"/>
  <c r="M716" i="15"/>
  <c r="N716" i="15"/>
  <c r="O716" i="15"/>
  <c r="P716" i="15"/>
  <c r="Q716" i="15"/>
  <c r="T716" i="15" s="1"/>
  <c r="R716" i="15"/>
  <c r="S716" i="15"/>
  <c r="U716" i="15"/>
  <c r="L717" i="15"/>
  <c r="O717" i="15" s="1"/>
  <c r="M717" i="15"/>
  <c r="P717" i="15" s="1"/>
  <c r="N717" i="15"/>
  <c r="Q717" i="15"/>
  <c r="R717" i="15"/>
  <c r="U717" i="15" s="1"/>
  <c r="S717" i="15"/>
  <c r="T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L729" i="15"/>
  <c r="M729" i="15"/>
  <c r="N729" i="15"/>
  <c r="Q729" i="15"/>
  <c r="T729" i="15" s="1"/>
  <c r="R729" i="15"/>
  <c r="S729" i="15"/>
  <c r="L730" i="15"/>
  <c r="M730" i="15"/>
  <c r="P730" i="15" s="1"/>
  <c r="N730" i="15"/>
  <c r="N728" i="15" s="1"/>
  <c r="O730" i="15"/>
  <c r="L731" i="15"/>
  <c r="O731" i="15" s="1"/>
  <c r="M731" i="15"/>
  <c r="N731" i="15"/>
  <c r="P731" i="15"/>
  <c r="O732" i="15"/>
  <c r="P732" i="15"/>
  <c r="T732" i="15"/>
  <c r="U732" i="15"/>
  <c r="O733" i="15"/>
  <c r="P733" i="15"/>
  <c r="Q733" i="15"/>
  <c r="Q730" i="15" s="1"/>
  <c r="R733" i="15"/>
  <c r="R731" i="15" s="1"/>
  <c r="S733" i="15"/>
  <c r="S731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0" i="15"/>
  <c r="O760" i="15" s="1"/>
  <c r="L761" i="15"/>
  <c r="O761" i="15" s="1"/>
  <c r="M761" i="15"/>
  <c r="M760" i="15" s="1"/>
  <c r="P760" i="15" s="1"/>
  <c r="N761" i="15"/>
  <c r="N760" i="15" s="1"/>
  <c r="Q761" i="15"/>
  <c r="R761" i="15"/>
  <c r="U761" i="15" s="1"/>
  <c r="S761" i="15"/>
  <c r="T761" i="15"/>
  <c r="L762" i="15"/>
  <c r="M762" i="15"/>
  <c r="N762" i="15"/>
  <c r="O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2" i="15" s="1"/>
  <c r="R765" i="15"/>
  <c r="R762" i="15" s="1"/>
  <c r="S765" i="15"/>
  <c r="S763" i="15" s="1"/>
  <c r="L766" i="15"/>
  <c r="M766" i="15"/>
  <c r="P766" i="15" s="1"/>
  <c r="N766" i="15"/>
  <c r="O766" i="15"/>
  <c r="Q766" i="15"/>
  <c r="R766" i="15"/>
  <c r="S766" i="15"/>
  <c r="T766" i="15"/>
  <c r="U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N22" i="14"/>
  <c r="O22" i="14"/>
  <c r="Q22" i="14"/>
  <c r="R22" i="14"/>
  <c r="U22" i="14" s="1"/>
  <c r="S22" i="14"/>
  <c r="Q24" i="14"/>
  <c r="T24" i="14" s="1"/>
  <c r="L25" i="14"/>
  <c r="O25" i="14" s="1"/>
  <c r="M25" i="14"/>
  <c r="N25" i="14"/>
  <c r="Q25" i="14"/>
  <c r="R25" i="14"/>
  <c r="U25" i="14" s="1"/>
  <c r="S25" i="14"/>
  <c r="T25" i="14"/>
  <c r="Q26" i="14"/>
  <c r="T26" i="14" s="1"/>
  <c r="R26" i="14"/>
  <c r="S26" i="14"/>
  <c r="U26" i="14"/>
  <c r="L45" i="14"/>
  <c r="M45" i="14"/>
  <c r="N45" i="14"/>
  <c r="O45" i="14"/>
  <c r="P45" i="14"/>
  <c r="Q45" i="14"/>
  <c r="T45" i="14" s="1"/>
  <c r="R45" i="14"/>
  <c r="R44" i="14" s="1"/>
  <c r="U44" i="14" s="1"/>
  <c r="S45" i="14"/>
  <c r="U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T49" i="14"/>
  <c r="U49" i="14"/>
  <c r="Q50" i="14"/>
  <c r="T50" i="14" s="1"/>
  <c r="R50" i="14"/>
  <c r="S50" i="14"/>
  <c r="U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P60" i="14" s="1"/>
  <c r="N60" i="14"/>
  <c r="Q60" i="14"/>
  <c r="R60" i="14"/>
  <c r="U60" i="14" s="1"/>
  <c r="S60" i="14"/>
  <c r="Q61" i="14"/>
  <c r="T61" i="14" s="1"/>
  <c r="R61" i="14"/>
  <c r="U61" i="14" s="1"/>
  <c r="S61" i="14"/>
  <c r="S59" i="14" s="1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O67" i="14" s="1"/>
  <c r="M67" i="14"/>
  <c r="N67" i="14"/>
  <c r="N65" i="14" s="1"/>
  <c r="T67" i="14"/>
  <c r="U67" i="14"/>
  <c r="J70" i="14"/>
  <c r="L73" i="14"/>
  <c r="M73" i="14"/>
  <c r="P73" i="14" s="1"/>
  <c r="N73" i="14"/>
  <c r="Q73" i="14"/>
  <c r="R73" i="14"/>
  <c r="U73" i="14" s="1"/>
  <c r="S73" i="14"/>
  <c r="O76" i="14"/>
  <c r="P76" i="14"/>
  <c r="T76" i="14"/>
  <c r="U76" i="14"/>
  <c r="L77" i="14"/>
  <c r="M77" i="14"/>
  <c r="N77" i="14"/>
  <c r="N75" i="14" s="1"/>
  <c r="Q77" i="14"/>
  <c r="Q74" i="14" s="1"/>
  <c r="T74" i="14" s="1"/>
  <c r="R77" i="14"/>
  <c r="R74" i="14" s="1"/>
  <c r="U74" i="14" s="1"/>
  <c r="S77" i="14"/>
  <c r="S75" i="14" s="1"/>
  <c r="Q78" i="14"/>
  <c r="R78" i="14"/>
  <c r="U78" i="14" s="1"/>
  <c r="S78" i="14"/>
  <c r="T78" i="14"/>
  <c r="O79" i="14"/>
  <c r="P79" i="14"/>
  <c r="T79" i="14"/>
  <c r="U79" i="14"/>
  <c r="L80" i="14"/>
  <c r="L78" i="14" s="1"/>
  <c r="O78" i="14" s="1"/>
  <c r="M80" i="14"/>
  <c r="N80" i="14"/>
  <c r="N78" i="14" s="1"/>
  <c r="T80" i="14"/>
  <c r="U80" i="14"/>
  <c r="J82" i="14"/>
  <c r="J83" i="14"/>
  <c r="J71" i="14" s="1"/>
  <c r="I84" i="14"/>
  <c r="I85" i="14"/>
  <c r="K85" i="14" s="1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O95" i="14"/>
  <c r="Q95" i="14"/>
  <c r="R95" i="14"/>
  <c r="S95" i="14"/>
  <c r="U95" i="14"/>
  <c r="O98" i="14"/>
  <c r="P98" i="14"/>
  <c r="T98" i="14"/>
  <c r="U98" i="14"/>
  <c r="L99" i="14"/>
  <c r="M99" i="14"/>
  <c r="N99" i="14"/>
  <c r="N97" i="14" s="1"/>
  <c r="Q99" i="14"/>
  <c r="Q96" i="14" s="1"/>
  <c r="R99" i="14"/>
  <c r="R96" i="14" s="1"/>
  <c r="S99" i="14"/>
  <c r="Q100" i="14"/>
  <c r="R100" i="14"/>
  <c r="S100" i="14"/>
  <c r="T100" i="14"/>
  <c r="U100" i="14"/>
  <c r="O101" i="14"/>
  <c r="P101" i="14"/>
  <c r="T101" i="14"/>
  <c r="U101" i="14"/>
  <c r="L102" i="14"/>
  <c r="O102" i="14" s="1"/>
  <c r="M102" i="14"/>
  <c r="N102" i="14"/>
  <c r="N100" i="14" s="1"/>
  <c r="T102" i="14"/>
  <c r="U102" i="14"/>
  <c r="I108" i="14"/>
  <c r="K108" i="14" s="1"/>
  <c r="I109" i="14"/>
  <c r="I113" i="14"/>
  <c r="K113" i="14" s="1"/>
  <c r="I114" i="14"/>
  <c r="K114" i="14" s="1"/>
  <c r="J116" i="14"/>
  <c r="L118" i="14"/>
  <c r="M118" i="14"/>
  <c r="N118" i="14"/>
  <c r="O118" i="14"/>
  <c r="Q118" i="14"/>
  <c r="R118" i="14"/>
  <c r="S118" i="14"/>
  <c r="T118" i="14"/>
  <c r="U118" i="14"/>
  <c r="O121" i="14"/>
  <c r="P121" i="14"/>
  <c r="T121" i="14"/>
  <c r="U121" i="14"/>
  <c r="L122" i="14"/>
  <c r="L120" i="14" s="1"/>
  <c r="O120" i="14" s="1"/>
  <c r="M122" i="14"/>
  <c r="N122" i="14"/>
  <c r="Q122" i="14"/>
  <c r="Q120" i="14" s="1"/>
  <c r="R122" i="14"/>
  <c r="R120" i="14" s="1"/>
  <c r="S122" i="14"/>
  <c r="S119" i="14" s="1"/>
  <c r="Q123" i="14"/>
  <c r="T123" i="14" s="1"/>
  <c r="R123" i="14"/>
  <c r="U123" i="14" s="1"/>
  <c r="S123" i="14"/>
  <c r="O124" i="14"/>
  <c r="P124" i="14"/>
  <c r="T124" i="14"/>
  <c r="U124" i="14"/>
  <c r="L125" i="14"/>
  <c r="L123" i="14" s="1"/>
  <c r="O123" i="14" s="1"/>
  <c r="M125" i="14"/>
  <c r="N125" i="14"/>
  <c r="N123" i="14" s="1"/>
  <c r="T125" i="14"/>
  <c r="U125" i="14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N140" i="14"/>
  <c r="Q140" i="14"/>
  <c r="R140" i="14"/>
  <c r="U140" i="14" s="1"/>
  <c r="S140" i="14"/>
  <c r="O143" i="14"/>
  <c r="P143" i="14"/>
  <c r="T143" i="14"/>
  <c r="U143" i="14"/>
  <c r="L144" i="14"/>
  <c r="O144" i="14" s="1"/>
  <c r="M144" i="14"/>
  <c r="N144" i="14"/>
  <c r="Q144" i="14"/>
  <c r="Q141" i="14" s="1"/>
  <c r="T141" i="14" s="1"/>
  <c r="R144" i="14"/>
  <c r="R141" i="14" s="1"/>
  <c r="S144" i="14"/>
  <c r="Q145" i="14"/>
  <c r="T145" i="14" s="1"/>
  <c r="R145" i="14"/>
  <c r="U145" i="14" s="1"/>
  <c r="S145" i="14"/>
  <c r="O146" i="14"/>
  <c r="P146" i="14"/>
  <c r="T146" i="14"/>
  <c r="U146" i="14"/>
  <c r="L147" i="14"/>
  <c r="O147" i="14" s="1"/>
  <c r="M147" i="14"/>
  <c r="M145" i="14" s="1"/>
  <c r="P145" i="14" s="1"/>
  <c r="N147" i="14"/>
  <c r="N145" i="14" s="1"/>
  <c r="T147" i="14"/>
  <c r="U147" i="14"/>
  <c r="I150" i="14"/>
  <c r="K150" i="14" s="1"/>
  <c r="I151" i="14"/>
  <c r="K151" i="14" s="1"/>
  <c r="I152" i="14"/>
  <c r="K152" i="14" s="1"/>
  <c r="I153" i="14"/>
  <c r="I154" i="14"/>
  <c r="I136" i="14" s="1"/>
  <c r="K136" i="14" s="1"/>
  <c r="J156" i="14"/>
  <c r="L158" i="14"/>
  <c r="O158" i="14" s="1"/>
  <c r="M158" i="14"/>
  <c r="P158" i="14" s="1"/>
  <c r="N158" i="14"/>
  <c r="Q158" i="14"/>
  <c r="R158" i="14"/>
  <c r="S158" i="14"/>
  <c r="T158" i="14"/>
  <c r="U158" i="14"/>
  <c r="O161" i="14"/>
  <c r="P161" i="14"/>
  <c r="T161" i="14"/>
  <c r="U161" i="14"/>
  <c r="L162" i="14"/>
  <c r="L160" i="14" s="1"/>
  <c r="O160" i="14" s="1"/>
  <c r="M162" i="14"/>
  <c r="N162" i="14"/>
  <c r="Q162" i="14"/>
  <c r="T162" i="14" s="1"/>
  <c r="R162" i="14"/>
  <c r="R160" i="14" s="1"/>
  <c r="U160" i="14" s="1"/>
  <c r="S162" i="14"/>
  <c r="S159" i="14" s="1"/>
  <c r="Q163" i="14"/>
  <c r="R163" i="14"/>
  <c r="U163" i="14" s="1"/>
  <c r="S163" i="14"/>
  <c r="T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M174" i="14"/>
  <c r="N174" i="14"/>
  <c r="O174" i="14"/>
  <c r="Q174" i="14"/>
  <c r="R174" i="14"/>
  <c r="S174" i="14"/>
  <c r="T174" i="14"/>
  <c r="U174" i="14"/>
  <c r="O177" i="14"/>
  <c r="P177" i="14"/>
  <c r="T177" i="14"/>
  <c r="U177" i="14"/>
  <c r="L178" i="14"/>
  <c r="M178" i="14"/>
  <c r="N178" i="14"/>
  <c r="Q178" i="14"/>
  <c r="T178" i="14" s="1"/>
  <c r="R178" i="14"/>
  <c r="S178" i="14"/>
  <c r="S175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P187" i="14"/>
  <c r="Q187" i="14"/>
  <c r="R187" i="14"/>
  <c r="S187" i="14"/>
  <c r="T187" i="14"/>
  <c r="O190" i="14"/>
  <c r="P190" i="14"/>
  <c r="T190" i="14"/>
  <c r="U190" i="14"/>
  <c r="L191" i="14"/>
  <c r="M191" i="14"/>
  <c r="N191" i="14"/>
  <c r="Q191" i="14"/>
  <c r="Q188" i="14" s="1"/>
  <c r="Q186" i="14" s="1"/>
  <c r="R191" i="14"/>
  <c r="S191" i="14"/>
  <c r="S188" i="14" s="1"/>
  <c r="Q192" i="14"/>
  <c r="T192" i="14" s="1"/>
  <c r="R192" i="14"/>
  <c r="S192" i="14"/>
  <c r="U192" i="14"/>
  <c r="O193" i="14"/>
  <c r="P193" i="14"/>
  <c r="T193" i="14"/>
  <c r="U193" i="14"/>
  <c r="L194" i="14"/>
  <c r="L192" i="14" s="1"/>
  <c r="O192" i="14" s="1"/>
  <c r="M194" i="14"/>
  <c r="N194" i="14"/>
  <c r="N192" i="14" s="1"/>
  <c r="T194" i="14"/>
  <c r="U194" i="14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K220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J231" i="14"/>
  <c r="J185" i="14" s="1"/>
  <c r="N232" i="14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O267" i="14" s="1"/>
  <c r="M267" i="14"/>
  <c r="N267" i="14"/>
  <c r="Q267" i="14"/>
  <c r="R267" i="14"/>
  <c r="S267" i="14"/>
  <c r="T267" i="14"/>
  <c r="U267" i="14"/>
  <c r="O270" i="14"/>
  <c r="P270" i="14"/>
  <c r="T270" i="14"/>
  <c r="U270" i="14"/>
  <c r="L271" i="14"/>
  <c r="M271" i="14"/>
  <c r="N271" i="14"/>
  <c r="Q271" i="14"/>
  <c r="Q268" i="14" s="1"/>
  <c r="R271" i="14"/>
  <c r="R268" i="14" s="1"/>
  <c r="R266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L272" i="14" s="1"/>
  <c r="O272" i="14" s="1"/>
  <c r="M274" i="14"/>
  <c r="N274" i="14"/>
  <c r="N272" i="14" s="1"/>
  <c r="T274" i="14"/>
  <c r="U274" i="14"/>
  <c r="I276" i="14"/>
  <c r="I265" i="14" s="1"/>
  <c r="K265" i="14" s="1"/>
  <c r="J281" i="14"/>
  <c r="L283" i="14"/>
  <c r="O283" i="14" s="1"/>
  <c r="M283" i="14"/>
  <c r="P283" i="14" s="1"/>
  <c r="N283" i="14"/>
  <c r="Q283" i="14"/>
  <c r="R283" i="14"/>
  <c r="U283" i="14" s="1"/>
  <c r="S283" i="14"/>
  <c r="T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P287" i="14" s="1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N290" i="14"/>
  <c r="N288" i="14" s="1"/>
  <c r="T290" i="14"/>
  <c r="U290" i="14"/>
  <c r="I292" i="14"/>
  <c r="I281" i="14" s="1"/>
  <c r="K281" i="14" s="1"/>
  <c r="I293" i="14"/>
  <c r="K293" i="14" s="1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P304" i="14"/>
  <c r="Q304" i="14"/>
  <c r="R304" i="14"/>
  <c r="S304" i="14"/>
  <c r="O307" i="14"/>
  <c r="P307" i="14"/>
  <c r="T307" i="14"/>
  <c r="U307" i="14"/>
  <c r="L308" i="14"/>
  <c r="M308" i="14"/>
  <c r="P308" i="14" s="1"/>
  <c r="N308" i="14"/>
  <c r="N306" i="14" s="1"/>
  <c r="Q308" i="14"/>
  <c r="Q306" i="14" s="1"/>
  <c r="R308" i="14"/>
  <c r="R305" i="14" s="1"/>
  <c r="S308" i="14"/>
  <c r="Q309" i="14"/>
  <c r="R309" i="14"/>
  <c r="U309" i="14" s="1"/>
  <c r="S309" i="14"/>
  <c r="T309" i="14"/>
  <c r="O310" i="14"/>
  <c r="P310" i="14"/>
  <c r="T310" i="14"/>
  <c r="U310" i="14"/>
  <c r="L311" i="14"/>
  <c r="M311" i="14"/>
  <c r="N311" i="14"/>
  <c r="N309" i="14" s="1"/>
  <c r="T311" i="14"/>
  <c r="U311" i="14"/>
  <c r="I314" i="14"/>
  <c r="K314" i="14" s="1"/>
  <c r="J319" i="14"/>
  <c r="L321" i="14"/>
  <c r="M321" i="14"/>
  <c r="P321" i="14" s="1"/>
  <c r="N321" i="14"/>
  <c r="Q321" i="14"/>
  <c r="T321" i="14" s="1"/>
  <c r="R321" i="14"/>
  <c r="S321" i="14"/>
  <c r="Q322" i="14"/>
  <c r="R322" i="14"/>
  <c r="S322" i="14"/>
  <c r="U322" i="14"/>
  <c r="Q323" i="14"/>
  <c r="R323" i="14"/>
  <c r="U323" i="14" s="1"/>
  <c r="S323" i="14"/>
  <c r="T323" i="14"/>
  <c r="O324" i="14"/>
  <c r="P324" i="14"/>
  <c r="T324" i="14"/>
  <c r="U324" i="14"/>
  <c r="L325" i="14"/>
  <c r="L323" i="14" s="1"/>
  <c r="O323" i="14" s="1"/>
  <c r="M325" i="14"/>
  <c r="N325" i="14"/>
  <c r="N323" i="14" s="1"/>
  <c r="T325" i="14"/>
  <c r="U325" i="14"/>
  <c r="Q326" i="14"/>
  <c r="T326" i="14" s="1"/>
  <c r="R326" i="14"/>
  <c r="S326" i="14"/>
  <c r="U326" i="14"/>
  <c r="O327" i="14"/>
  <c r="P327" i="14"/>
  <c r="T327" i="14"/>
  <c r="U327" i="14"/>
  <c r="L328" i="14"/>
  <c r="L326" i="14" s="1"/>
  <c r="O326" i="14" s="1"/>
  <c r="M328" i="14"/>
  <c r="P328" i="14" s="1"/>
  <c r="N328" i="14"/>
  <c r="N326" i="14" s="1"/>
  <c r="T328" i="14"/>
  <c r="U328" i="14"/>
  <c r="I330" i="14"/>
  <c r="I319" i="14" s="1"/>
  <c r="K319" i="14" s="1"/>
  <c r="L334" i="14"/>
  <c r="O334" i="14" s="1"/>
  <c r="M334" i="14"/>
  <c r="P334" i="14" s="1"/>
  <c r="N334" i="14"/>
  <c r="Q334" i="14"/>
  <c r="R334" i="14"/>
  <c r="U334" i="14" s="1"/>
  <c r="S334" i="14"/>
  <c r="S333" i="14" s="1"/>
  <c r="T334" i="14"/>
  <c r="Q335" i="14"/>
  <c r="T335" i="14" s="1"/>
  <c r="R335" i="14"/>
  <c r="U335" i="14" s="1"/>
  <c r="S335" i="14"/>
  <c r="Q336" i="14"/>
  <c r="T336" i="14" s="1"/>
  <c r="R336" i="14"/>
  <c r="S336" i="14"/>
  <c r="U336" i="14"/>
  <c r="O337" i="14"/>
  <c r="P337" i="14"/>
  <c r="T337" i="14"/>
  <c r="U337" i="14"/>
  <c r="L338" i="14"/>
  <c r="L336" i="14" s="1"/>
  <c r="M338" i="14"/>
  <c r="N338" i="14"/>
  <c r="N336" i="14" s="1"/>
  <c r="T338" i="14"/>
  <c r="U338" i="14"/>
  <c r="Q339" i="14"/>
  <c r="T339" i="14" s="1"/>
  <c r="R339" i="14"/>
  <c r="S339" i="14"/>
  <c r="U339" i="14"/>
  <c r="O340" i="14"/>
  <c r="P340" i="14"/>
  <c r="T340" i="14"/>
  <c r="U340" i="14"/>
  <c r="L341" i="14"/>
  <c r="L339" i="14" s="1"/>
  <c r="O339" i="14" s="1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Q357" i="14"/>
  <c r="R357" i="14"/>
  <c r="S357" i="14"/>
  <c r="Q358" i="14"/>
  <c r="T358" i="14" s="1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M359" i="14" s="1"/>
  <c r="N361" i="14"/>
  <c r="N359" i="14" s="1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L362" i="14" s="1"/>
  <c r="O362" i="14" s="1"/>
  <c r="M364" i="14"/>
  <c r="P364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J371" i="14"/>
  <c r="J365" i="14" s="1"/>
  <c r="J372" i="14"/>
  <c r="K372" i="14"/>
  <c r="D373" i="14"/>
  <c r="M375" i="14"/>
  <c r="P375" i="14" s="1"/>
  <c r="L376" i="14"/>
  <c r="O376" i="14" s="1"/>
  <c r="M376" i="14"/>
  <c r="N376" i="14"/>
  <c r="P376" i="14"/>
  <c r="Q376" i="14"/>
  <c r="T376" i="14" s="1"/>
  <c r="R376" i="14"/>
  <c r="S376" i="14"/>
  <c r="L377" i="14"/>
  <c r="O377" i="14" s="1"/>
  <c r="M377" i="14"/>
  <c r="N377" i="14"/>
  <c r="N375" i="14" s="1"/>
  <c r="P377" i="14"/>
  <c r="L378" i="14"/>
  <c r="O378" i="14" s="1"/>
  <c r="M378" i="14"/>
  <c r="N378" i="14"/>
  <c r="P378" i="14"/>
  <c r="O379" i="14"/>
  <c r="P379" i="14"/>
  <c r="T379" i="14"/>
  <c r="U379" i="14"/>
  <c r="O380" i="14"/>
  <c r="P380" i="14"/>
  <c r="Q380" i="14"/>
  <c r="Q377" i="14" s="1"/>
  <c r="Q375" i="14" s="1"/>
  <c r="R380" i="14"/>
  <c r="R377" i="14" s="1"/>
  <c r="U377" i="14" s="1"/>
  <c r="S380" i="14"/>
  <c r="L381" i="14"/>
  <c r="M381" i="14"/>
  <c r="N381" i="14"/>
  <c r="O381" i="14"/>
  <c r="P381" i="14"/>
  <c r="Q381" i="14"/>
  <c r="R381" i="14"/>
  <c r="S381" i="14"/>
  <c r="T381" i="14"/>
  <c r="U381" i="14"/>
  <c r="O382" i="14"/>
  <c r="P382" i="14"/>
  <c r="T382" i="14"/>
  <c r="U382" i="14"/>
  <c r="O383" i="14"/>
  <c r="P383" i="14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P393" i="14"/>
  <c r="Q393" i="14"/>
  <c r="R393" i="14"/>
  <c r="S393" i="14"/>
  <c r="S392" i="14" s="1"/>
  <c r="L394" i="14"/>
  <c r="O394" i="14" s="1"/>
  <c r="M394" i="14"/>
  <c r="N394" i="14"/>
  <c r="N392" i="14" s="1"/>
  <c r="Q394" i="14"/>
  <c r="T394" i="14" s="1"/>
  <c r="R394" i="14"/>
  <c r="U394" i="14" s="1"/>
  <c r="S394" i="14"/>
  <c r="L395" i="14"/>
  <c r="O395" i="14" s="1"/>
  <c r="M395" i="14"/>
  <c r="P395" i="14" s="1"/>
  <c r="N395" i="14"/>
  <c r="Q395" i="14"/>
  <c r="R395" i="14"/>
  <c r="U395" i="14" s="1"/>
  <c r="S395" i="14"/>
  <c r="T395" i="14"/>
  <c r="O396" i="14"/>
  <c r="P396" i="14"/>
  <c r="T396" i="14"/>
  <c r="U396" i="14"/>
  <c r="O397" i="14"/>
  <c r="P397" i="14"/>
  <c r="T397" i="14"/>
  <c r="U397" i="14"/>
  <c r="L398" i="14"/>
  <c r="O398" i="14" s="1"/>
  <c r="M398" i="14"/>
  <c r="P398" i="14" s="1"/>
  <c r="N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M414" i="14"/>
  <c r="N414" i="14"/>
  <c r="Q414" i="14"/>
  <c r="R414" i="14"/>
  <c r="S414" i="14"/>
  <c r="T414" i="14"/>
  <c r="U414" i="14"/>
  <c r="L415" i="14"/>
  <c r="O415" i="14" s="1"/>
  <c r="M415" i="14"/>
  <c r="N415" i="14"/>
  <c r="P415" i="14"/>
  <c r="L416" i="14"/>
  <c r="O416" i="14" s="1"/>
  <c r="M416" i="14"/>
  <c r="P416" i="14" s="1"/>
  <c r="N416" i="14"/>
  <c r="O417" i="14"/>
  <c r="P417" i="14"/>
  <c r="T417" i="14"/>
  <c r="U417" i="14"/>
  <c r="O418" i="14"/>
  <c r="P418" i="14"/>
  <c r="Q418" i="14"/>
  <c r="R418" i="14"/>
  <c r="R416" i="14" s="1"/>
  <c r="U416" i="14" s="1"/>
  <c r="S418" i="14"/>
  <c r="S416" i="14" s="1"/>
  <c r="L419" i="14"/>
  <c r="O419" i="14" s="1"/>
  <c r="M419" i="14"/>
  <c r="P419" i="14" s="1"/>
  <c r="N419" i="14"/>
  <c r="Q419" i="14"/>
  <c r="T419" i="14" s="1"/>
  <c r="R419" i="14"/>
  <c r="U419" i="14" s="1"/>
  <c r="S419" i="14"/>
  <c r="O420" i="14"/>
  <c r="P420" i="14"/>
  <c r="T420" i="14"/>
  <c r="U420" i="14"/>
  <c r="O421" i="14"/>
  <c r="P421" i="14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K423" i="14" s="1"/>
  <c r="I441" i="14"/>
  <c r="K441" i="14" s="1"/>
  <c r="J441" i="14"/>
  <c r="J446" i="14"/>
  <c r="J440" i="14" s="1"/>
  <c r="J423" i="14" s="1"/>
  <c r="J412" i="14" s="1"/>
  <c r="J447" i="14"/>
  <c r="I457" i="14"/>
  <c r="K457" i="14" s="1"/>
  <c r="I458" i="14"/>
  <c r="K458" i="14" s="1"/>
  <c r="J459" i="14"/>
  <c r="J460" i="14"/>
  <c r="J467" i="14"/>
  <c r="J468" i="14"/>
  <c r="J458" i="14" s="1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N494" i="14"/>
  <c r="N493" i="14" s="1"/>
  <c r="O494" i="14"/>
  <c r="Q494" i="14"/>
  <c r="R494" i="14"/>
  <c r="S494" i="14"/>
  <c r="T494" i="14"/>
  <c r="U494" i="14"/>
  <c r="L495" i="14"/>
  <c r="O495" i="14" s="1"/>
  <c r="M495" i="14"/>
  <c r="N495" i="14"/>
  <c r="P495" i="14"/>
  <c r="L496" i="14"/>
  <c r="O496" i="14" s="1"/>
  <c r="M496" i="14"/>
  <c r="P496" i="14" s="1"/>
  <c r="N496" i="14"/>
  <c r="O497" i="14"/>
  <c r="P497" i="14"/>
  <c r="T497" i="14"/>
  <c r="U497" i="14"/>
  <c r="O498" i="14"/>
  <c r="P498" i="14"/>
  <c r="Q498" i="14"/>
  <c r="Q496" i="14" s="1"/>
  <c r="T496" i="14" s="1"/>
  <c r="R498" i="14"/>
  <c r="R495" i="14" s="1"/>
  <c r="S498" i="14"/>
  <c r="S495" i="14" s="1"/>
  <c r="L499" i="14"/>
  <c r="O499" i="14" s="1"/>
  <c r="M499" i="14"/>
  <c r="P499" i="14" s="1"/>
  <c r="N499" i="14"/>
  <c r="Q499" i="14"/>
  <c r="T499" i="14" s="1"/>
  <c r="R499" i="14"/>
  <c r="U499" i="14" s="1"/>
  <c r="S499" i="14"/>
  <c r="O500" i="14"/>
  <c r="P500" i="14"/>
  <c r="T500" i="14"/>
  <c r="U500" i="14"/>
  <c r="O501" i="14"/>
  <c r="P501" i="14"/>
  <c r="T501" i="14"/>
  <c r="U501" i="14"/>
  <c r="I503" i="14"/>
  <c r="I492" i="14" s="1"/>
  <c r="K492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O514" i="14" s="1"/>
  <c r="M514" i="14"/>
  <c r="P514" i="14" s="1"/>
  <c r="N514" i="14"/>
  <c r="Q514" i="14"/>
  <c r="R514" i="14"/>
  <c r="S514" i="14"/>
  <c r="T514" i="14"/>
  <c r="U514" i="14"/>
  <c r="Q515" i="14"/>
  <c r="Q513" i="14" s="1"/>
  <c r="T513" i="14" s="1"/>
  <c r="R515" i="14"/>
  <c r="S515" i="14"/>
  <c r="T515" i="14"/>
  <c r="U515" i="14"/>
  <c r="Q516" i="14"/>
  <c r="T516" i="14" s="1"/>
  <c r="R516" i="14"/>
  <c r="U516" i="14" s="1"/>
  <c r="S516" i="14"/>
  <c r="O517" i="14"/>
  <c r="P517" i="14"/>
  <c r="T517" i="14"/>
  <c r="U517" i="14"/>
  <c r="L518" i="14"/>
  <c r="M518" i="14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K533" i="14" s="1"/>
  <c r="J533" i="14"/>
  <c r="L535" i="14"/>
  <c r="M535" i="14"/>
  <c r="N535" i="14"/>
  <c r="Q535" i="14"/>
  <c r="T535" i="14" s="1"/>
  <c r="R535" i="14"/>
  <c r="U535" i="14" s="1"/>
  <c r="S535" i="14"/>
  <c r="S534" i="14" s="1"/>
  <c r="L536" i="14"/>
  <c r="O536" i="14" s="1"/>
  <c r="M536" i="14"/>
  <c r="N536" i="14"/>
  <c r="P536" i="14"/>
  <c r="Q536" i="14"/>
  <c r="T536" i="14" s="1"/>
  <c r="R536" i="14"/>
  <c r="U536" i="14" s="1"/>
  <c r="S536" i="14"/>
  <c r="L537" i="14"/>
  <c r="O537" i="14" s="1"/>
  <c r="M537" i="14"/>
  <c r="P537" i="14" s="1"/>
  <c r="N537" i="14"/>
  <c r="Q537" i="14"/>
  <c r="T537" i="14" s="1"/>
  <c r="R537" i="14"/>
  <c r="U537" i="14" s="1"/>
  <c r="S537" i="14"/>
  <c r="O538" i="14"/>
  <c r="P538" i="14"/>
  <c r="T538" i="14"/>
  <c r="U538" i="14"/>
  <c r="O539" i="14"/>
  <c r="P539" i="14"/>
  <c r="T539" i="14"/>
  <c r="U539" i="14"/>
  <c r="L540" i="14"/>
  <c r="O540" i="14" s="1"/>
  <c r="M540" i="14"/>
  <c r="P540" i="14" s="1"/>
  <c r="N540" i="14"/>
  <c r="Q540" i="14"/>
  <c r="R540" i="14"/>
  <c r="U540" i="14" s="1"/>
  <c r="S540" i="14"/>
  <c r="T540" i="14"/>
  <c r="O541" i="14"/>
  <c r="P541" i="14"/>
  <c r="T541" i="14"/>
  <c r="U541" i="14"/>
  <c r="O542" i="14"/>
  <c r="P542" i="14"/>
  <c r="T542" i="14"/>
  <c r="U542" i="14"/>
  <c r="I554" i="14"/>
  <c r="K554" i="14" s="1"/>
  <c r="J554" i="14"/>
  <c r="N555" i="14"/>
  <c r="Q555" i="14"/>
  <c r="T555" i="14" s="1"/>
  <c r="L556" i="14"/>
  <c r="M556" i="14"/>
  <c r="N556" i="14"/>
  <c r="Q556" i="14"/>
  <c r="T556" i="14" s="1"/>
  <c r="R556" i="14"/>
  <c r="S556" i="14"/>
  <c r="L557" i="14"/>
  <c r="O557" i="14" s="1"/>
  <c r="M557" i="14"/>
  <c r="P557" i="14" s="1"/>
  <c r="N557" i="14"/>
  <c r="Q557" i="14"/>
  <c r="R557" i="14"/>
  <c r="U557" i="14" s="1"/>
  <c r="S557" i="14"/>
  <c r="T557" i="14"/>
  <c r="L558" i="14"/>
  <c r="M558" i="14"/>
  <c r="N558" i="14"/>
  <c r="O558" i="14"/>
  <c r="P558" i="14"/>
  <c r="Q558" i="14"/>
  <c r="T558" i="14" s="1"/>
  <c r="R558" i="14"/>
  <c r="S558" i="14"/>
  <c r="U558" i="14"/>
  <c r="O559" i="14"/>
  <c r="P559" i="14"/>
  <c r="T559" i="14"/>
  <c r="U559" i="14"/>
  <c r="O560" i="14"/>
  <c r="P560" i="14"/>
  <c r="T560" i="14"/>
  <c r="U560" i="14"/>
  <c r="L561" i="14"/>
  <c r="M561" i="14"/>
  <c r="N561" i="14"/>
  <c r="O561" i="14"/>
  <c r="P561" i="14"/>
  <c r="Q561" i="14"/>
  <c r="T561" i="14" s="1"/>
  <c r="R561" i="14"/>
  <c r="S561" i="14"/>
  <c r="U561" i="14"/>
  <c r="O562" i="14"/>
  <c r="P562" i="14"/>
  <c r="T562" i="14"/>
  <c r="U562" i="14"/>
  <c r="O563" i="14"/>
  <c r="P563" i="14"/>
  <c r="T563" i="14"/>
  <c r="U563" i="14"/>
  <c r="I575" i="14"/>
  <c r="K575" i="14" s="1"/>
  <c r="J575" i="14"/>
  <c r="N576" i="14"/>
  <c r="L577" i="14"/>
  <c r="M577" i="14"/>
  <c r="N577" i="14"/>
  <c r="O577" i="14"/>
  <c r="P577" i="14"/>
  <c r="Q577" i="14"/>
  <c r="R577" i="14"/>
  <c r="S577" i="14"/>
  <c r="S576" i="14" s="1"/>
  <c r="T577" i="14"/>
  <c r="U577" i="14"/>
  <c r="L578" i="14"/>
  <c r="O578" i="14" s="1"/>
  <c r="M578" i="14"/>
  <c r="N578" i="14"/>
  <c r="P578" i="14"/>
  <c r="Q578" i="14"/>
  <c r="T578" i="14" s="1"/>
  <c r="R578" i="14"/>
  <c r="U578" i="14" s="1"/>
  <c r="S578" i="14"/>
  <c r="L579" i="14"/>
  <c r="O579" i="14" s="1"/>
  <c r="M579" i="14"/>
  <c r="P579" i="14" s="1"/>
  <c r="N579" i="14"/>
  <c r="Q579" i="14"/>
  <c r="T579" i="14" s="1"/>
  <c r="R579" i="14"/>
  <c r="U579" i="14" s="1"/>
  <c r="S579" i="14"/>
  <c r="O580" i="14"/>
  <c r="P580" i="14"/>
  <c r="T580" i="14"/>
  <c r="U580" i="14"/>
  <c r="O581" i="14"/>
  <c r="P581" i="14"/>
  <c r="T581" i="14"/>
  <c r="U581" i="14"/>
  <c r="L582" i="14"/>
  <c r="O582" i="14" s="1"/>
  <c r="M582" i="14"/>
  <c r="P582" i="14" s="1"/>
  <c r="N582" i="14"/>
  <c r="Q582" i="14"/>
  <c r="T582" i="14" s="1"/>
  <c r="R582" i="14"/>
  <c r="U582" i="14" s="1"/>
  <c r="S582" i="14"/>
  <c r="O583" i="14"/>
  <c r="P583" i="14"/>
  <c r="T583" i="14"/>
  <c r="U583" i="14"/>
  <c r="O584" i="14"/>
  <c r="P584" i="14"/>
  <c r="T584" i="14"/>
  <c r="U584" i="14"/>
  <c r="L599" i="14"/>
  <c r="O599" i="14" s="1"/>
  <c r="L600" i="14"/>
  <c r="M600" i="14"/>
  <c r="N600" i="14"/>
  <c r="N599" i="14" s="1"/>
  <c r="O600" i="14"/>
  <c r="P600" i="14"/>
  <c r="Q600" i="14"/>
  <c r="R600" i="14"/>
  <c r="S600" i="14"/>
  <c r="S599" i="14" s="1"/>
  <c r="T600" i="14"/>
  <c r="U600" i="14"/>
  <c r="L601" i="14"/>
  <c r="O601" i="14" s="1"/>
  <c r="M601" i="14"/>
  <c r="N601" i="14"/>
  <c r="P601" i="14"/>
  <c r="Q601" i="14"/>
  <c r="T601" i="14" s="1"/>
  <c r="R601" i="14"/>
  <c r="U601" i="14" s="1"/>
  <c r="S601" i="14"/>
  <c r="L602" i="14"/>
  <c r="O602" i="14" s="1"/>
  <c r="M602" i="14"/>
  <c r="P602" i="14" s="1"/>
  <c r="N602" i="14"/>
  <c r="Q602" i="14"/>
  <c r="T602" i="14" s="1"/>
  <c r="R602" i="14"/>
  <c r="U602" i="14" s="1"/>
  <c r="S602" i="14"/>
  <c r="O603" i="14"/>
  <c r="P603" i="14"/>
  <c r="T603" i="14"/>
  <c r="U603" i="14"/>
  <c r="O604" i="14"/>
  <c r="P604" i="14"/>
  <c r="T604" i="14"/>
  <c r="U604" i="14"/>
  <c r="L605" i="14"/>
  <c r="O605" i="14" s="1"/>
  <c r="M605" i="14"/>
  <c r="P605" i="14" s="1"/>
  <c r="N605" i="14"/>
  <c r="Q605" i="14"/>
  <c r="T605" i="14" s="1"/>
  <c r="R605" i="14"/>
  <c r="U605" i="14" s="1"/>
  <c r="S605" i="14"/>
  <c r="O606" i="14"/>
  <c r="P606" i="14"/>
  <c r="T606" i="14"/>
  <c r="U606" i="14"/>
  <c r="O607" i="14"/>
  <c r="P607" i="14"/>
  <c r="T607" i="14"/>
  <c r="U607" i="14"/>
  <c r="L617" i="14"/>
  <c r="O617" i="14" s="1"/>
  <c r="M617" i="14"/>
  <c r="N617" i="14"/>
  <c r="Q617" i="14"/>
  <c r="R617" i="14"/>
  <c r="U617" i="14" s="1"/>
  <c r="S617" i="14"/>
  <c r="T617" i="14"/>
  <c r="L618" i="14"/>
  <c r="O618" i="14" s="1"/>
  <c r="M618" i="14"/>
  <c r="N618" i="14"/>
  <c r="P618" i="14"/>
  <c r="L619" i="14"/>
  <c r="M619" i="14"/>
  <c r="N619" i="14"/>
  <c r="O619" i="14"/>
  <c r="P619" i="14"/>
  <c r="O620" i="14"/>
  <c r="P620" i="14"/>
  <c r="T620" i="14"/>
  <c r="U620" i="14"/>
  <c r="O621" i="14"/>
  <c r="P621" i="14"/>
  <c r="Q621" i="14"/>
  <c r="Q619" i="14" s="1"/>
  <c r="R621" i="14"/>
  <c r="R619" i="14" s="1"/>
  <c r="S621" i="14"/>
  <c r="S619" i="14" s="1"/>
  <c r="L622" i="14"/>
  <c r="O622" i="14" s="1"/>
  <c r="M622" i="14"/>
  <c r="P622" i="14" s="1"/>
  <c r="N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K629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M643" i="14"/>
  <c r="N643" i="14"/>
  <c r="O643" i="14"/>
  <c r="P643" i="14"/>
  <c r="Q643" i="14"/>
  <c r="T643" i="14" s="1"/>
  <c r="R643" i="14"/>
  <c r="S643" i="14"/>
  <c r="U643" i="14"/>
  <c r="L644" i="14"/>
  <c r="O644" i="14" s="1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5" i="14" s="1"/>
  <c r="T645" i="14" s="1"/>
  <c r="R647" i="14"/>
  <c r="R645" i="14" s="1"/>
  <c r="U645" i="14" s="1"/>
  <c r="S647" i="14"/>
  <c r="S644" i="14" s="1"/>
  <c r="S642" i="14" s="1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O692" i="14" s="1"/>
  <c r="M692" i="14"/>
  <c r="P692" i="14" s="1"/>
  <c r="N692" i="14"/>
  <c r="N690" i="14" s="1"/>
  <c r="L693" i="14"/>
  <c r="M693" i="14"/>
  <c r="P693" i="14" s="1"/>
  <c r="N693" i="14"/>
  <c r="O693" i="14"/>
  <c r="O694" i="14"/>
  <c r="P694" i="14"/>
  <c r="T694" i="14"/>
  <c r="U694" i="14"/>
  <c r="O695" i="14"/>
  <c r="P695" i="14"/>
  <c r="Q695" i="14"/>
  <c r="Q692" i="14" s="1"/>
  <c r="R695" i="14"/>
  <c r="R693" i="14" s="1"/>
  <c r="S695" i="14"/>
  <c r="S693" i="14" s="1"/>
  <c r="L696" i="14"/>
  <c r="O696" i="14" s="1"/>
  <c r="M696" i="14"/>
  <c r="N696" i="14"/>
  <c r="P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K703" i="14" s="1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O715" i="14" s="1"/>
  <c r="M715" i="14"/>
  <c r="M714" i="14" s="1"/>
  <c r="P714" i="14" s="1"/>
  <c r="N715" i="14"/>
  <c r="N714" i="14" s="1"/>
  <c r="Q715" i="14"/>
  <c r="R715" i="14"/>
  <c r="S715" i="14"/>
  <c r="S714" i="14" s="1"/>
  <c r="U715" i="14"/>
  <c r="L716" i="14"/>
  <c r="M716" i="14"/>
  <c r="P716" i="14" s="1"/>
  <c r="N716" i="14"/>
  <c r="O716" i="14"/>
  <c r="Q716" i="14"/>
  <c r="T716" i="14" s="1"/>
  <c r="R716" i="14"/>
  <c r="U716" i="14" s="1"/>
  <c r="S716" i="14"/>
  <c r="L717" i="14"/>
  <c r="O717" i="14" s="1"/>
  <c r="M717" i="14"/>
  <c r="P717" i="14" s="1"/>
  <c r="N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R720" i="14"/>
  <c r="U720" i="14" s="1"/>
  <c r="S720" i="14"/>
  <c r="T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J727" i="14"/>
  <c r="L729" i="14"/>
  <c r="M729" i="14"/>
  <c r="N729" i="14"/>
  <c r="N728" i="14" s="1"/>
  <c r="O729" i="14"/>
  <c r="P729" i="14"/>
  <c r="Q729" i="14"/>
  <c r="R729" i="14"/>
  <c r="U729" i="14" s="1"/>
  <c r="S729" i="14"/>
  <c r="L730" i="14"/>
  <c r="O730" i="14" s="1"/>
  <c r="M730" i="14"/>
  <c r="P730" i="14" s="1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R733" i="14"/>
  <c r="S733" i="14"/>
  <c r="S730" i="14" s="1"/>
  <c r="S728" i="14" s="1"/>
  <c r="L734" i="14"/>
  <c r="O734" i="14" s="1"/>
  <c r="M734" i="14"/>
  <c r="N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P761" i="14" s="1"/>
  <c r="N761" i="14"/>
  <c r="O761" i="14"/>
  <c r="Q761" i="14"/>
  <c r="T761" i="14" s="1"/>
  <c r="R761" i="14"/>
  <c r="S761" i="14"/>
  <c r="U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R765" i="14"/>
  <c r="S765" i="14"/>
  <c r="S762" i="14" s="1"/>
  <c r="S760" i="14" s="1"/>
  <c r="L766" i="14"/>
  <c r="M766" i="14"/>
  <c r="N766" i="14"/>
  <c r="O766" i="14"/>
  <c r="P766" i="14"/>
  <c r="Q766" i="14"/>
  <c r="R766" i="14"/>
  <c r="S766" i="14"/>
  <c r="T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M22" i="13"/>
  <c r="N22" i="13"/>
  <c r="N19" i="13" s="1"/>
  <c r="Q22" i="13"/>
  <c r="R22" i="13"/>
  <c r="S22" i="13"/>
  <c r="L25" i="13"/>
  <c r="M25" i="13"/>
  <c r="N25" i="13"/>
  <c r="Q25" i="13"/>
  <c r="R25" i="13"/>
  <c r="S25" i="13"/>
  <c r="Q26" i="13"/>
  <c r="T26" i="13" s="1"/>
  <c r="R26" i="13"/>
  <c r="S26" i="13"/>
  <c r="U26" i="13"/>
  <c r="L45" i="13"/>
  <c r="M45" i="13"/>
  <c r="N45" i="13"/>
  <c r="O45" i="13"/>
  <c r="Q45" i="13"/>
  <c r="Q44" i="13" s="1"/>
  <c r="T44" i="13" s="1"/>
  <c r="R45" i="13"/>
  <c r="U45" i="13" s="1"/>
  <c r="S45" i="13"/>
  <c r="T45" i="13"/>
  <c r="Q46" i="13"/>
  <c r="T46" i="13" s="1"/>
  <c r="R46" i="13"/>
  <c r="U46" i="13" s="1"/>
  <c r="S46" i="13"/>
  <c r="Q47" i="13"/>
  <c r="T47" i="13" s="1"/>
  <c r="R47" i="13"/>
  <c r="U47" i="13" s="1"/>
  <c r="S47" i="13"/>
  <c r="O48" i="13"/>
  <c r="P48" i="13"/>
  <c r="T48" i="13"/>
  <c r="U48" i="13"/>
  <c r="L49" i="13"/>
  <c r="M49" i="13"/>
  <c r="M47" i="13" s="1"/>
  <c r="N49" i="13"/>
  <c r="T49" i="13"/>
  <c r="U49" i="13"/>
  <c r="Q50" i="13"/>
  <c r="R50" i="13"/>
  <c r="U50" i="13" s="1"/>
  <c r="S50" i="13"/>
  <c r="T50" i="13"/>
  <c r="O51" i="13"/>
  <c r="P51" i="13"/>
  <c r="T51" i="13"/>
  <c r="U51" i="13"/>
  <c r="L52" i="13"/>
  <c r="M52" i="13"/>
  <c r="N52" i="13"/>
  <c r="N50" i="13" s="1"/>
  <c r="T52" i="13"/>
  <c r="U52" i="13"/>
  <c r="L60" i="13"/>
  <c r="M60" i="13"/>
  <c r="N60" i="13"/>
  <c r="O60" i="13"/>
  <c r="Q60" i="13"/>
  <c r="R60" i="13"/>
  <c r="R59" i="13" s="1"/>
  <c r="U59" i="13" s="1"/>
  <c r="S60" i="13"/>
  <c r="S59" i="13" s="1"/>
  <c r="T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L62" i="13" s="1"/>
  <c r="M64" i="13"/>
  <c r="M62" i="13" s="1"/>
  <c r="N64" i="13"/>
  <c r="T64" i="13"/>
  <c r="U64" i="13"/>
  <c r="Q65" i="13"/>
  <c r="R65" i="13"/>
  <c r="U65" i="13" s="1"/>
  <c r="S65" i="13"/>
  <c r="T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R73" i="13"/>
  <c r="S73" i="13"/>
  <c r="T73" i="13"/>
  <c r="O76" i="13"/>
  <c r="P76" i="13"/>
  <c r="T76" i="13"/>
  <c r="U76" i="13"/>
  <c r="L77" i="13"/>
  <c r="M77" i="13"/>
  <c r="M75" i="13" s="1"/>
  <c r="P75" i="13" s="1"/>
  <c r="N77" i="13"/>
  <c r="Q77" i="13"/>
  <c r="Q74" i="13" s="1"/>
  <c r="T74" i="13" s="1"/>
  <c r="R77" i="13"/>
  <c r="R74" i="13" s="1"/>
  <c r="U74" i="13" s="1"/>
  <c r="S77" i="13"/>
  <c r="S75" i="13" s="1"/>
  <c r="Q78" i="13"/>
  <c r="T78" i="13" s="1"/>
  <c r="R78" i="13"/>
  <c r="U78" i="13" s="1"/>
  <c r="S78" i="13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T80" i="13"/>
  <c r="U80" i="13"/>
  <c r="J82" i="13"/>
  <c r="J70" i="13" s="1"/>
  <c r="J83" i="13"/>
  <c r="J71" i="13" s="1"/>
  <c r="I84" i="13"/>
  <c r="I85" i="13"/>
  <c r="K85" i="13" s="1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O95" i="13"/>
  <c r="Q95" i="13"/>
  <c r="T95" i="13" s="1"/>
  <c r="R95" i="13"/>
  <c r="S95" i="13"/>
  <c r="U95" i="13"/>
  <c r="O98" i="13"/>
  <c r="P98" i="13"/>
  <c r="T98" i="13"/>
  <c r="U98" i="13"/>
  <c r="L99" i="13"/>
  <c r="L97" i="13" s="1"/>
  <c r="O97" i="13" s="1"/>
  <c r="M99" i="13"/>
  <c r="N99" i="13"/>
  <c r="N97" i="13" s="1"/>
  <c r="Q99" i="13"/>
  <c r="Q96" i="13" s="1"/>
  <c r="R99" i="13"/>
  <c r="R96" i="13" s="1"/>
  <c r="S99" i="13"/>
  <c r="S96" i="13" s="1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92" i="13" s="1"/>
  <c r="K92" i="13" s="1"/>
  <c r="I109" i="13"/>
  <c r="I113" i="13"/>
  <c r="K113" i="13" s="1"/>
  <c r="I114" i="13"/>
  <c r="K114" i="13" s="1"/>
  <c r="J116" i="13"/>
  <c r="L118" i="13"/>
  <c r="M118" i="13"/>
  <c r="N118" i="13"/>
  <c r="Q118" i="13"/>
  <c r="T118" i="13" s="1"/>
  <c r="R118" i="13"/>
  <c r="S118" i="13"/>
  <c r="O121" i="13"/>
  <c r="P121" i="13"/>
  <c r="T121" i="13"/>
  <c r="U121" i="13"/>
  <c r="L122" i="13"/>
  <c r="L120" i="13" s="1"/>
  <c r="O120" i="13" s="1"/>
  <c r="M122" i="13"/>
  <c r="P122" i="13" s="1"/>
  <c r="N122" i="13"/>
  <c r="N120" i="13" s="1"/>
  <c r="Q122" i="13"/>
  <c r="R122" i="13"/>
  <c r="R120" i="13" s="1"/>
  <c r="S122" i="13"/>
  <c r="S119" i="13" s="1"/>
  <c r="Q123" i="13"/>
  <c r="T123" i="13" s="1"/>
  <c r="R123" i="13"/>
  <c r="U123" i="13" s="1"/>
  <c r="S123" i="13"/>
  <c r="O124" i="13"/>
  <c r="P124" i="13"/>
  <c r="T124" i="13"/>
  <c r="U124" i="13"/>
  <c r="L125" i="13"/>
  <c r="L123" i="13" s="1"/>
  <c r="O123" i="13" s="1"/>
  <c r="M125" i="13"/>
  <c r="N125" i="13"/>
  <c r="T125" i="13"/>
  <c r="U125" i="13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O140" i="13" s="1"/>
  <c r="M140" i="13"/>
  <c r="N140" i="13"/>
  <c r="P140" i="13"/>
  <c r="Q140" i="13"/>
  <c r="R140" i="13"/>
  <c r="U140" i="13" s="1"/>
  <c r="S140" i="13"/>
  <c r="O143" i="13"/>
  <c r="P143" i="13"/>
  <c r="T143" i="13"/>
  <c r="U143" i="13"/>
  <c r="L144" i="13"/>
  <c r="M144" i="13"/>
  <c r="M142" i="13" s="1"/>
  <c r="N144" i="13"/>
  <c r="Q144" i="13"/>
  <c r="Q142" i="13" s="1"/>
  <c r="T142" i="13" s="1"/>
  <c r="R144" i="13"/>
  <c r="S144" i="13"/>
  <c r="Q145" i="13"/>
  <c r="T145" i="13" s="1"/>
  <c r="R145" i="13"/>
  <c r="U145" i="13" s="1"/>
  <c r="S145" i="13"/>
  <c r="O146" i="13"/>
  <c r="P146" i="13"/>
  <c r="T146" i="13"/>
  <c r="U146" i="13"/>
  <c r="L147" i="13"/>
  <c r="M147" i="13"/>
  <c r="M145" i="13" s="1"/>
  <c r="P145" i="13" s="1"/>
  <c r="N147" i="13"/>
  <c r="N145" i="13" s="1"/>
  <c r="T147" i="13"/>
  <c r="U147" i="13"/>
  <c r="I150" i="13"/>
  <c r="K150" i="13" s="1"/>
  <c r="I151" i="13"/>
  <c r="K151" i="13" s="1"/>
  <c r="I152" i="13"/>
  <c r="I137" i="13" s="1"/>
  <c r="K137" i="13" s="1"/>
  <c r="I153" i="13"/>
  <c r="K153" i="13" s="1"/>
  <c r="I154" i="13"/>
  <c r="K154" i="13" s="1"/>
  <c r="J156" i="13"/>
  <c r="L158" i="13"/>
  <c r="M158" i="13"/>
  <c r="N158" i="13"/>
  <c r="Q158" i="13"/>
  <c r="T158" i="13" s="1"/>
  <c r="R158" i="13"/>
  <c r="S158" i="13"/>
  <c r="O161" i="13"/>
  <c r="P161" i="13"/>
  <c r="T161" i="13"/>
  <c r="U161" i="13"/>
  <c r="L162" i="13"/>
  <c r="L160" i="13" s="1"/>
  <c r="O160" i="13" s="1"/>
  <c r="M162" i="13"/>
  <c r="M160" i="13" s="1"/>
  <c r="N162" i="13"/>
  <c r="N160" i="13" s="1"/>
  <c r="Q162" i="13"/>
  <c r="Q159" i="13" s="1"/>
  <c r="R162" i="13"/>
  <c r="R160" i="13" s="1"/>
  <c r="U160" i="13" s="1"/>
  <c r="S162" i="13"/>
  <c r="S160" i="13" s="1"/>
  <c r="Q163" i="13"/>
  <c r="T163" i="13" s="1"/>
  <c r="R163" i="13"/>
  <c r="U163" i="13" s="1"/>
  <c r="S163" i="13"/>
  <c r="O164" i="13"/>
  <c r="P164" i="13"/>
  <c r="T164" i="13"/>
  <c r="U164" i="13"/>
  <c r="L165" i="13"/>
  <c r="L163" i="13" s="1"/>
  <c r="O163" i="13" s="1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J172" i="13"/>
  <c r="L174" i="13"/>
  <c r="M174" i="13"/>
  <c r="N174" i="13"/>
  <c r="Q174" i="13"/>
  <c r="T174" i="13" s="1"/>
  <c r="R174" i="13"/>
  <c r="S174" i="13"/>
  <c r="O177" i="13"/>
  <c r="P177" i="13"/>
  <c r="T177" i="13"/>
  <c r="U177" i="13"/>
  <c r="L178" i="13"/>
  <c r="L176" i="13" s="1"/>
  <c r="M178" i="13"/>
  <c r="N178" i="13"/>
  <c r="Q178" i="13"/>
  <c r="Q175" i="13" s="1"/>
  <c r="R178" i="13"/>
  <c r="S178" i="13"/>
  <c r="S175" i="13" s="1"/>
  <c r="Q179" i="13"/>
  <c r="T179" i="13" s="1"/>
  <c r="R179" i="13"/>
  <c r="U179" i="13" s="1"/>
  <c r="S179" i="13"/>
  <c r="O180" i="13"/>
  <c r="P180" i="13"/>
  <c r="T180" i="13"/>
  <c r="U180" i="13"/>
  <c r="L181" i="13"/>
  <c r="M181" i="13"/>
  <c r="P181" i="13" s="1"/>
  <c r="N181" i="13"/>
  <c r="N179" i="13" s="1"/>
  <c r="T181" i="13"/>
  <c r="U181" i="13"/>
  <c r="I183" i="13"/>
  <c r="I172" i="13" s="1"/>
  <c r="K184" i="13"/>
  <c r="L187" i="13"/>
  <c r="O187" i="13" s="1"/>
  <c r="M187" i="13"/>
  <c r="P187" i="13" s="1"/>
  <c r="N187" i="13"/>
  <c r="Q187" i="13"/>
  <c r="T187" i="13" s="1"/>
  <c r="R187" i="13"/>
  <c r="S187" i="13"/>
  <c r="O190" i="13"/>
  <c r="P190" i="13"/>
  <c r="T190" i="13"/>
  <c r="U190" i="13"/>
  <c r="L191" i="13"/>
  <c r="L189" i="13" s="1"/>
  <c r="M191" i="13"/>
  <c r="M189" i="13" s="1"/>
  <c r="N191" i="13"/>
  <c r="N189" i="13" s="1"/>
  <c r="Q191" i="13"/>
  <c r="R191" i="13"/>
  <c r="R188" i="13" s="1"/>
  <c r="S191" i="13"/>
  <c r="S188" i="13" s="1"/>
  <c r="Q192" i="13"/>
  <c r="T192" i="13" s="1"/>
  <c r="R192" i="13"/>
  <c r="U192" i="13" s="1"/>
  <c r="S192" i="13"/>
  <c r="O193" i="13"/>
  <c r="P193" i="13"/>
  <c r="T193" i="13"/>
  <c r="U193" i="13"/>
  <c r="L194" i="13"/>
  <c r="L192" i="13" s="1"/>
  <c r="O192" i="13" s="1"/>
  <c r="M194" i="13"/>
  <c r="N194" i="13"/>
  <c r="N192" i="13" s="1"/>
  <c r="T194" i="13"/>
  <c r="U194" i="13"/>
  <c r="J195" i="13"/>
  <c r="L196" i="13"/>
  <c r="O196" i="13" s="1"/>
  <c r="P196" i="13"/>
  <c r="I198" i="13"/>
  <c r="K198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I219" i="13"/>
  <c r="K219" i="13" s="1"/>
  <c r="I220" i="13"/>
  <c r="I213" i="13" s="1"/>
  <c r="K213" i="13" s="1"/>
  <c r="J221" i="13"/>
  <c r="N222" i="13"/>
  <c r="P222" i="13"/>
  <c r="L223" i="13"/>
  <c r="L224" i="13"/>
  <c r="L225" i="13"/>
  <c r="I228" i="13"/>
  <c r="K228" i="13" s="1"/>
  <c r="I229" i="13"/>
  <c r="I230" i="13"/>
  <c r="K230" i="13" s="1"/>
  <c r="N233" i="13"/>
  <c r="N234" i="13"/>
  <c r="N235" i="13"/>
  <c r="N236" i="13"/>
  <c r="J238" i="13"/>
  <c r="I240" i="13"/>
  <c r="J240" i="13"/>
  <c r="K240" i="13"/>
  <c r="I241" i="13"/>
  <c r="J241" i="13"/>
  <c r="K241" i="13"/>
  <c r="J242" i="13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O267" i="13"/>
  <c r="Q267" i="13"/>
  <c r="R267" i="13"/>
  <c r="S267" i="13"/>
  <c r="T267" i="13"/>
  <c r="O270" i="13"/>
  <c r="P270" i="13"/>
  <c r="T270" i="13"/>
  <c r="U270" i="13"/>
  <c r="L271" i="13"/>
  <c r="L269" i="13" s="1"/>
  <c r="O269" i="13" s="1"/>
  <c r="M271" i="13"/>
  <c r="N271" i="13"/>
  <c r="Q271" i="13"/>
  <c r="Q269" i="13" s="1"/>
  <c r="R271" i="13"/>
  <c r="R268" i="13" s="1"/>
  <c r="S271" i="13"/>
  <c r="S268" i="13" s="1"/>
  <c r="Q272" i="13"/>
  <c r="T272" i="13" s="1"/>
  <c r="R272" i="13"/>
  <c r="U272" i="13" s="1"/>
  <c r="S272" i="13"/>
  <c r="O273" i="13"/>
  <c r="P273" i="13"/>
  <c r="T273" i="13"/>
  <c r="U273" i="13"/>
  <c r="L274" i="13"/>
  <c r="M274" i="13"/>
  <c r="M272" i="13" s="1"/>
  <c r="P272" i="13" s="1"/>
  <c r="N274" i="13"/>
  <c r="N272" i="13" s="1"/>
  <c r="T274" i="13"/>
  <c r="U274" i="13"/>
  <c r="I276" i="13"/>
  <c r="I265" i="13" s="1"/>
  <c r="J281" i="13"/>
  <c r="Q282" i="13"/>
  <c r="T282" i="13" s="1"/>
  <c r="L283" i="13"/>
  <c r="M283" i="13"/>
  <c r="N283" i="13"/>
  <c r="O283" i="13"/>
  <c r="Q283" i="13"/>
  <c r="T283" i="13" s="1"/>
  <c r="R283" i="13"/>
  <c r="R282" i="13" s="1"/>
  <c r="U282" i="13" s="1"/>
  <c r="S283" i="13"/>
  <c r="S282" i="13" s="1"/>
  <c r="U283" i="13"/>
  <c r="Q284" i="13"/>
  <c r="T284" i="13" s="1"/>
  <c r="R284" i="13"/>
  <c r="U284" i="13" s="1"/>
  <c r="S284" i="13"/>
  <c r="Q285" i="13"/>
  <c r="R285" i="13"/>
  <c r="U285" i="13" s="1"/>
  <c r="S285" i="13"/>
  <c r="T285" i="13"/>
  <c r="O286" i="13"/>
  <c r="P286" i="13"/>
  <c r="T286" i="13"/>
  <c r="U286" i="13"/>
  <c r="L287" i="13"/>
  <c r="M287" i="13"/>
  <c r="N287" i="13"/>
  <c r="N285" i="13" s="1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L288" i="13" s="1"/>
  <c r="O288" i="13" s="1"/>
  <c r="M290" i="13"/>
  <c r="M288" i="13" s="1"/>
  <c r="P288" i="13" s="1"/>
  <c r="N290" i="13"/>
  <c r="N288" i="13" s="1"/>
  <c r="T290" i="13"/>
  <c r="U290" i="13"/>
  <c r="I292" i="13"/>
  <c r="K292" i="13" s="1"/>
  <c r="I293" i="13"/>
  <c r="J293" i="13"/>
  <c r="J280" i="13" s="1"/>
  <c r="I295" i="13"/>
  <c r="K295" i="13" s="1"/>
  <c r="I296" i="13"/>
  <c r="K296" i="13" s="1"/>
  <c r="J302" i="13"/>
  <c r="L304" i="13"/>
  <c r="M304" i="13"/>
  <c r="N304" i="13"/>
  <c r="O304" i="13"/>
  <c r="Q304" i="13"/>
  <c r="R304" i="13"/>
  <c r="U304" i="13" s="1"/>
  <c r="S304" i="13"/>
  <c r="T304" i="13"/>
  <c r="O307" i="13"/>
  <c r="P307" i="13"/>
  <c r="T307" i="13"/>
  <c r="U307" i="13"/>
  <c r="L308" i="13"/>
  <c r="M308" i="13"/>
  <c r="M306" i="13" s="1"/>
  <c r="P306" i="13" s="1"/>
  <c r="N308" i="13"/>
  <c r="Q308" i="13"/>
  <c r="R308" i="13"/>
  <c r="S308" i="13"/>
  <c r="S305" i="13" s="1"/>
  <c r="Q309" i="13"/>
  <c r="T309" i="13" s="1"/>
  <c r="R309" i="13"/>
  <c r="S309" i="13"/>
  <c r="U309" i="13"/>
  <c r="O310" i="13"/>
  <c r="P310" i="13"/>
  <c r="T310" i="13"/>
  <c r="U310" i="13"/>
  <c r="L311" i="13"/>
  <c r="L309" i="13" s="1"/>
  <c r="O309" i="13" s="1"/>
  <c r="M311" i="13"/>
  <c r="N311" i="13"/>
  <c r="N309" i="13" s="1"/>
  <c r="T311" i="13"/>
  <c r="U311" i="13"/>
  <c r="I314" i="13"/>
  <c r="K314" i="13" s="1"/>
  <c r="J319" i="13"/>
  <c r="L321" i="13"/>
  <c r="M321" i="13"/>
  <c r="N321" i="13"/>
  <c r="Q321" i="13"/>
  <c r="T321" i="13" s="1"/>
  <c r="R321" i="13"/>
  <c r="R320" i="13" s="1"/>
  <c r="U320" i="13" s="1"/>
  <c r="S321" i="13"/>
  <c r="U321" i="13"/>
  <c r="Q322" i="13"/>
  <c r="R322" i="13"/>
  <c r="S322" i="13"/>
  <c r="T322" i="13"/>
  <c r="U322" i="13"/>
  <c r="Q323" i="13"/>
  <c r="T323" i="13" s="1"/>
  <c r="R323" i="13"/>
  <c r="U323" i="13" s="1"/>
  <c r="S323" i="13"/>
  <c r="O324" i="13"/>
  <c r="P324" i="13"/>
  <c r="T324" i="13"/>
  <c r="U324" i="13"/>
  <c r="L325" i="13"/>
  <c r="M325" i="13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N328" i="13"/>
  <c r="N326" i="13" s="1"/>
  <c r="T328" i="13"/>
  <c r="U328" i="13"/>
  <c r="I330" i="13"/>
  <c r="I319" i="13" s="1"/>
  <c r="K319" i="13" s="1"/>
  <c r="L334" i="13"/>
  <c r="M334" i="13"/>
  <c r="N334" i="13"/>
  <c r="O334" i="13"/>
  <c r="Q334" i="13"/>
  <c r="R334" i="13"/>
  <c r="S334" i="13"/>
  <c r="T334" i="13"/>
  <c r="U334" i="13"/>
  <c r="Q335" i="13"/>
  <c r="Q333" i="13" s="1"/>
  <c r="T333" i="13" s="1"/>
  <c r="R335" i="13"/>
  <c r="S335" i="13"/>
  <c r="T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M336" i="13" s="1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M341" i="13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L357" i="13"/>
  <c r="M357" i="13"/>
  <c r="P357" i="13" s="1"/>
  <c r="N357" i="13"/>
  <c r="O357" i="13"/>
  <c r="Q357" i="13"/>
  <c r="T357" i="13" s="1"/>
  <c r="R357" i="13"/>
  <c r="S357" i="13"/>
  <c r="U357" i="13"/>
  <c r="Q358" i="13"/>
  <c r="T358" i="13" s="1"/>
  <c r="R358" i="13"/>
  <c r="U358" i="13" s="1"/>
  <c r="S358" i="13"/>
  <c r="S356" i="13" s="1"/>
  <c r="Q359" i="13"/>
  <c r="T359" i="13" s="1"/>
  <c r="R359" i="13"/>
  <c r="S359" i="13"/>
  <c r="U359" i="13"/>
  <c r="O360" i="13"/>
  <c r="P360" i="13"/>
  <c r="T360" i="13"/>
  <c r="U360" i="13"/>
  <c r="L361" i="13"/>
  <c r="M361" i="13"/>
  <c r="N361" i="13"/>
  <c r="N359" i="13" s="1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L362" i="13" s="1"/>
  <c r="O362" i="13" s="1"/>
  <c r="M364" i="13"/>
  <c r="M362" i="13" s="1"/>
  <c r="P362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L376" i="13"/>
  <c r="M376" i="13"/>
  <c r="P376" i="13" s="1"/>
  <c r="N376" i="13"/>
  <c r="O376" i="13"/>
  <c r="Q376" i="13"/>
  <c r="R376" i="13"/>
  <c r="U376" i="13" s="1"/>
  <c r="S376" i="13"/>
  <c r="L377" i="13"/>
  <c r="M377" i="13"/>
  <c r="P377" i="13" s="1"/>
  <c r="N377" i="13"/>
  <c r="O377" i="13"/>
  <c r="L378" i="13"/>
  <c r="M378" i="13"/>
  <c r="P378" i="13" s="1"/>
  <c r="N378" i="13"/>
  <c r="O378" i="13"/>
  <c r="O379" i="13"/>
  <c r="P379" i="13"/>
  <c r="T379" i="13"/>
  <c r="U379" i="13"/>
  <c r="O380" i="13"/>
  <c r="P380" i="13"/>
  <c r="Q380" i="13"/>
  <c r="Q377" i="13" s="1"/>
  <c r="R380" i="13"/>
  <c r="S380" i="13"/>
  <c r="L381" i="13"/>
  <c r="O381" i="13" s="1"/>
  <c r="M381" i="13"/>
  <c r="P381" i="13" s="1"/>
  <c r="N381" i="13"/>
  <c r="Q381" i="13"/>
  <c r="T381" i="13" s="1"/>
  <c r="R381" i="13"/>
  <c r="U381" i="13" s="1"/>
  <c r="S381" i="13"/>
  <c r="O382" i="13"/>
  <c r="P382" i="13"/>
  <c r="T382" i="13"/>
  <c r="U382" i="13"/>
  <c r="O383" i="13"/>
  <c r="P383" i="13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J391" i="13"/>
  <c r="K391" i="13"/>
  <c r="R392" i="13"/>
  <c r="U392" i="13" s="1"/>
  <c r="L393" i="13"/>
  <c r="L392" i="13" s="1"/>
  <c r="O392" i="13" s="1"/>
  <c r="M393" i="13"/>
  <c r="P393" i="13" s="1"/>
  <c r="N393" i="13"/>
  <c r="Q393" i="13"/>
  <c r="R393" i="13"/>
  <c r="S393" i="13"/>
  <c r="U393" i="13"/>
  <c r="L394" i="13"/>
  <c r="O394" i="13" s="1"/>
  <c r="M394" i="13"/>
  <c r="P394" i="13" s="1"/>
  <c r="N394" i="13"/>
  <c r="Q394" i="13"/>
  <c r="T394" i="13" s="1"/>
  <c r="R394" i="13"/>
  <c r="U394" i="13" s="1"/>
  <c r="S394" i="13"/>
  <c r="S392" i="13" s="1"/>
  <c r="L395" i="13"/>
  <c r="O395" i="13" s="1"/>
  <c r="M395" i="13"/>
  <c r="P395" i="13" s="1"/>
  <c r="N395" i="13"/>
  <c r="Q395" i="13"/>
  <c r="T395" i="13" s="1"/>
  <c r="R395" i="13"/>
  <c r="U395" i="13" s="1"/>
  <c r="S395" i="13"/>
  <c r="O396" i="13"/>
  <c r="P396" i="13"/>
  <c r="T396" i="13"/>
  <c r="U396" i="13"/>
  <c r="O397" i="13"/>
  <c r="P397" i="13"/>
  <c r="T397" i="13"/>
  <c r="U397" i="13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N413" i="13"/>
  <c r="L414" i="13"/>
  <c r="O414" i="13" s="1"/>
  <c r="M414" i="13"/>
  <c r="N414" i="13"/>
  <c r="P414" i="13"/>
  <c r="Q414" i="13"/>
  <c r="R414" i="13"/>
  <c r="S414" i="13"/>
  <c r="T414" i="13"/>
  <c r="L415" i="13"/>
  <c r="O415" i="13" s="1"/>
  <c r="M415" i="13"/>
  <c r="M413" i="13" s="1"/>
  <c r="P413" i="13" s="1"/>
  <c r="N415" i="13"/>
  <c r="P415" i="13"/>
  <c r="L416" i="13"/>
  <c r="O416" i="13" s="1"/>
  <c r="M416" i="13"/>
  <c r="N416" i="13"/>
  <c r="P416" i="13"/>
  <c r="O417" i="13"/>
  <c r="P417" i="13"/>
  <c r="T417" i="13"/>
  <c r="U417" i="13"/>
  <c r="O418" i="13"/>
  <c r="P418" i="13"/>
  <c r="Q418" i="13"/>
  <c r="R418" i="13"/>
  <c r="R415" i="13" s="1"/>
  <c r="U415" i="13" s="1"/>
  <c r="S418" i="13"/>
  <c r="S416" i="13" s="1"/>
  <c r="L419" i="13"/>
  <c r="O419" i="13" s="1"/>
  <c r="M419" i="13"/>
  <c r="P419" i="13" s="1"/>
  <c r="N419" i="13"/>
  <c r="Q419" i="13"/>
  <c r="T419" i="13" s="1"/>
  <c r="R419" i="13"/>
  <c r="U419" i="13" s="1"/>
  <c r="S419" i="13"/>
  <c r="O420" i="13"/>
  <c r="P420" i="13"/>
  <c r="T420" i="13"/>
  <c r="U420" i="13"/>
  <c r="O421" i="13"/>
  <c r="P421" i="13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41" i="13"/>
  <c r="K441" i="13" s="1"/>
  <c r="J441" i="13"/>
  <c r="J446" i="13"/>
  <c r="J440" i="13" s="1"/>
  <c r="J423" i="13" s="1"/>
  <c r="J412" i="13" s="1"/>
  <c r="J447" i="13"/>
  <c r="I457" i="13"/>
  <c r="I456" i="13" s="1"/>
  <c r="K456" i="13" s="1"/>
  <c r="I458" i="13"/>
  <c r="K458" i="13" s="1"/>
  <c r="J459" i="13"/>
  <c r="J460" i="13"/>
  <c r="J467" i="13"/>
  <c r="J457" i="13" s="1"/>
  <c r="J456" i="13" s="1"/>
  <c r="J468" i="13"/>
  <c r="J475" i="13"/>
  <c r="K475" i="13"/>
  <c r="J476" i="13"/>
  <c r="K476" i="13"/>
  <c r="J477" i="13"/>
  <c r="K477" i="13"/>
  <c r="J482" i="13"/>
  <c r="J483" i="13"/>
  <c r="I484" i="13"/>
  <c r="J484" i="13"/>
  <c r="K484" i="13"/>
  <c r="I485" i="13"/>
  <c r="J485" i="13"/>
  <c r="K485" i="13"/>
  <c r="L494" i="13"/>
  <c r="O494" i="13" s="1"/>
  <c r="M494" i="13"/>
  <c r="M493" i="13" s="1"/>
  <c r="P493" i="13" s="1"/>
  <c r="N494" i="13"/>
  <c r="Q494" i="13"/>
  <c r="T494" i="13" s="1"/>
  <c r="R494" i="13"/>
  <c r="S494" i="13"/>
  <c r="L495" i="13"/>
  <c r="O495" i="13" s="1"/>
  <c r="M495" i="13"/>
  <c r="N495" i="13"/>
  <c r="P495" i="13"/>
  <c r="L496" i="13"/>
  <c r="O496" i="13" s="1"/>
  <c r="M496" i="13"/>
  <c r="P496" i="13" s="1"/>
  <c r="N496" i="13"/>
  <c r="O497" i="13"/>
  <c r="P497" i="13"/>
  <c r="T497" i="13"/>
  <c r="U497" i="13"/>
  <c r="O498" i="13"/>
  <c r="P498" i="13"/>
  <c r="Q498" i="13"/>
  <c r="Q495" i="13" s="1"/>
  <c r="R498" i="13"/>
  <c r="R495" i="13" s="1"/>
  <c r="S498" i="13"/>
  <c r="L499" i="13"/>
  <c r="O499" i="13" s="1"/>
  <c r="M499" i="13"/>
  <c r="N499" i="13"/>
  <c r="P499" i="13"/>
  <c r="Q499" i="13"/>
  <c r="T499" i="13" s="1"/>
  <c r="R499" i="13"/>
  <c r="U499" i="13" s="1"/>
  <c r="S499" i="13"/>
  <c r="O500" i="13"/>
  <c r="P500" i="13"/>
  <c r="T500" i="13"/>
  <c r="U500" i="13"/>
  <c r="O501" i="13"/>
  <c r="P501" i="13"/>
  <c r="T501" i="13"/>
  <c r="U501" i="13"/>
  <c r="I503" i="13"/>
  <c r="I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O514" i="13" s="1"/>
  <c r="M514" i="13"/>
  <c r="P514" i="13" s="1"/>
  <c r="N514" i="13"/>
  <c r="Q514" i="13"/>
  <c r="R514" i="13"/>
  <c r="U514" i="13" s="1"/>
  <c r="S514" i="13"/>
  <c r="Q515" i="13"/>
  <c r="R515" i="13"/>
  <c r="U515" i="13" s="1"/>
  <c r="S515" i="13"/>
  <c r="T515" i="13"/>
  <c r="Q516" i="13"/>
  <c r="T516" i="13" s="1"/>
  <c r="R516" i="13"/>
  <c r="S516" i="13"/>
  <c r="U516" i="13"/>
  <c r="O517" i="13"/>
  <c r="P517" i="13"/>
  <c r="T517" i="13"/>
  <c r="U517" i="13"/>
  <c r="L518" i="13"/>
  <c r="O518" i="13" s="1"/>
  <c r="M518" i="13"/>
  <c r="N518" i="13"/>
  <c r="N516" i="13" s="1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M521" i="13"/>
  <c r="M515" i="13" s="1"/>
  <c r="P515" i="13" s="1"/>
  <c r="N521" i="13"/>
  <c r="N519" i="13" s="1"/>
  <c r="T521" i="13"/>
  <c r="U521" i="13"/>
  <c r="K523" i="13"/>
  <c r="K524" i="13"/>
  <c r="I533" i="13"/>
  <c r="J533" i="13"/>
  <c r="K533" i="13"/>
  <c r="L535" i="13"/>
  <c r="M535" i="13"/>
  <c r="N535" i="13"/>
  <c r="Q535" i="13"/>
  <c r="Q534" i="13" s="1"/>
  <c r="T534" i="13" s="1"/>
  <c r="R535" i="13"/>
  <c r="S535" i="13"/>
  <c r="S534" i="13" s="1"/>
  <c r="T535" i="13"/>
  <c r="L536" i="13"/>
  <c r="M536" i="13"/>
  <c r="N536" i="13"/>
  <c r="N534" i="13" s="1"/>
  <c r="O536" i="13"/>
  <c r="P536" i="13"/>
  <c r="Q536" i="13"/>
  <c r="T536" i="13" s="1"/>
  <c r="R536" i="13"/>
  <c r="S536" i="13"/>
  <c r="U536" i="13"/>
  <c r="L537" i="13"/>
  <c r="O537" i="13" s="1"/>
  <c r="M537" i="13"/>
  <c r="P537" i="13" s="1"/>
  <c r="N537" i="13"/>
  <c r="Q537" i="13"/>
  <c r="T537" i="13" s="1"/>
  <c r="R537" i="13"/>
  <c r="U537" i="13" s="1"/>
  <c r="S537" i="13"/>
  <c r="O538" i="13"/>
  <c r="P538" i="13"/>
  <c r="T538" i="13"/>
  <c r="U538" i="13"/>
  <c r="O539" i="13"/>
  <c r="P539" i="13"/>
  <c r="T539" i="13"/>
  <c r="U539" i="13"/>
  <c r="L540" i="13"/>
  <c r="O540" i="13" s="1"/>
  <c r="M540" i="13"/>
  <c r="P540" i="13" s="1"/>
  <c r="N540" i="13"/>
  <c r="Q540" i="13"/>
  <c r="T540" i="13" s="1"/>
  <c r="R540" i="13"/>
  <c r="U540" i="13" s="1"/>
  <c r="S540" i="13"/>
  <c r="O541" i="13"/>
  <c r="P541" i="13"/>
  <c r="T541" i="13"/>
  <c r="U541" i="13"/>
  <c r="O542" i="13"/>
  <c r="P542" i="13"/>
  <c r="T542" i="13"/>
  <c r="U542" i="13"/>
  <c r="I554" i="13"/>
  <c r="K554" i="13" s="1"/>
  <c r="J554" i="13"/>
  <c r="L556" i="13"/>
  <c r="L555" i="13" s="1"/>
  <c r="O555" i="13" s="1"/>
  <c r="M556" i="13"/>
  <c r="N556" i="13"/>
  <c r="Q556" i="13"/>
  <c r="T556" i="13" s="1"/>
  <c r="R556" i="13"/>
  <c r="U556" i="13" s="1"/>
  <c r="S556" i="13"/>
  <c r="S555" i="13" s="1"/>
  <c r="L557" i="13"/>
  <c r="O557" i="13" s="1"/>
  <c r="M557" i="13"/>
  <c r="P557" i="13" s="1"/>
  <c r="N557" i="13"/>
  <c r="N555" i="13" s="1"/>
  <c r="Q557" i="13"/>
  <c r="R557" i="13"/>
  <c r="U557" i="13" s="1"/>
  <c r="S557" i="13"/>
  <c r="L558" i="13"/>
  <c r="M558" i="13"/>
  <c r="P558" i="13" s="1"/>
  <c r="N558" i="13"/>
  <c r="O558" i="13"/>
  <c r="Q558" i="13"/>
  <c r="T558" i="13" s="1"/>
  <c r="R558" i="13"/>
  <c r="S558" i="13"/>
  <c r="U558" i="13"/>
  <c r="O559" i="13"/>
  <c r="P559" i="13"/>
  <c r="T559" i="13"/>
  <c r="U559" i="13"/>
  <c r="O560" i="13"/>
  <c r="P560" i="13"/>
  <c r="T560" i="13"/>
  <c r="U560" i="13"/>
  <c r="L561" i="13"/>
  <c r="M561" i="13"/>
  <c r="P561" i="13" s="1"/>
  <c r="N561" i="13"/>
  <c r="O561" i="13"/>
  <c r="Q561" i="13"/>
  <c r="T561" i="13" s="1"/>
  <c r="R561" i="13"/>
  <c r="U561" i="13" s="1"/>
  <c r="S561" i="13"/>
  <c r="O562" i="13"/>
  <c r="P562" i="13"/>
  <c r="T562" i="13"/>
  <c r="U562" i="13"/>
  <c r="O563" i="13"/>
  <c r="P563" i="13"/>
  <c r="T563" i="13"/>
  <c r="U563" i="13"/>
  <c r="I575" i="13"/>
  <c r="K575" i="13" s="1"/>
  <c r="J575" i="13"/>
  <c r="L577" i="13"/>
  <c r="M577" i="13"/>
  <c r="N577" i="13"/>
  <c r="Q577" i="13"/>
  <c r="R577" i="13"/>
  <c r="S577" i="13"/>
  <c r="T577" i="13"/>
  <c r="L578" i="13"/>
  <c r="O578" i="13" s="1"/>
  <c r="M578" i="13"/>
  <c r="N578" i="13"/>
  <c r="P578" i="13"/>
  <c r="Q578" i="13"/>
  <c r="T578" i="13" s="1"/>
  <c r="R578" i="13"/>
  <c r="U578" i="13" s="1"/>
  <c r="S578" i="13"/>
  <c r="L579" i="13"/>
  <c r="O579" i="13" s="1"/>
  <c r="M579" i="13"/>
  <c r="P579" i="13" s="1"/>
  <c r="N579" i="13"/>
  <c r="Q579" i="13"/>
  <c r="T579" i="13" s="1"/>
  <c r="R579" i="13"/>
  <c r="U579" i="13" s="1"/>
  <c r="S579" i="13"/>
  <c r="O580" i="13"/>
  <c r="P580" i="13"/>
  <c r="T580" i="13"/>
  <c r="U580" i="13"/>
  <c r="O581" i="13"/>
  <c r="P581" i="13"/>
  <c r="T581" i="13"/>
  <c r="U581" i="13"/>
  <c r="L582" i="13"/>
  <c r="O582" i="13" s="1"/>
  <c r="M582" i="13"/>
  <c r="N582" i="13"/>
  <c r="P582" i="13"/>
  <c r="Q582" i="13"/>
  <c r="T582" i="13" s="1"/>
  <c r="R582" i="13"/>
  <c r="U582" i="13" s="1"/>
  <c r="S582" i="13"/>
  <c r="O583" i="13"/>
  <c r="P583" i="13"/>
  <c r="T583" i="13"/>
  <c r="U583" i="13"/>
  <c r="O584" i="13"/>
  <c r="P584" i="13"/>
  <c r="T584" i="13"/>
  <c r="U584" i="13"/>
  <c r="L600" i="13"/>
  <c r="M600" i="13"/>
  <c r="N600" i="13"/>
  <c r="Q600" i="13"/>
  <c r="R600" i="13"/>
  <c r="S600" i="13"/>
  <c r="S599" i="13" s="1"/>
  <c r="T600" i="13"/>
  <c r="L601" i="13"/>
  <c r="O601" i="13" s="1"/>
  <c r="M601" i="13"/>
  <c r="N601" i="13"/>
  <c r="P601" i="13"/>
  <c r="Q601" i="13"/>
  <c r="T601" i="13" s="1"/>
  <c r="R601" i="13"/>
  <c r="U601" i="13" s="1"/>
  <c r="S601" i="13"/>
  <c r="L602" i="13"/>
  <c r="O602" i="13" s="1"/>
  <c r="M602" i="13"/>
  <c r="P602" i="13" s="1"/>
  <c r="N602" i="13"/>
  <c r="Q602" i="13"/>
  <c r="T602" i="13" s="1"/>
  <c r="R602" i="13"/>
  <c r="U602" i="13" s="1"/>
  <c r="S602" i="13"/>
  <c r="O603" i="13"/>
  <c r="P603" i="13"/>
  <c r="T603" i="13"/>
  <c r="U603" i="13"/>
  <c r="O604" i="13"/>
  <c r="P604" i="13"/>
  <c r="T604" i="13"/>
  <c r="U604" i="13"/>
  <c r="L605" i="13"/>
  <c r="O605" i="13" s="1"/>
  <c r="M605" i="13"/>
  <c r="N605" i="13"/>
  <c r="P605" i="13"/>
  <c r="Q605" i="13"/>
  <c r="T605" i="13" s="1"/>
  <c r="R605" i="13"/>
  <c r="U605" i="13" s="1"/>
  <c r="S605" i="13"/>
  <c r="O606" i="13"/>
  <c r="P606" i="13"/>
  <c r="T606" i="13"/>
  <c r="U606" i="13"/>
  <c r="O607" i="13"/>
  <c r="P607" i="13"/>
  <c r="T607" i="13"/>
  <c r="U607" i="13"/>
  <c r="N616" i="13"/>
  <c r="L617" i="13"/>
  <c r="O617" i="13" s="1"/>
  <c r="M617" i="13"/>
  <c r="N617" i="13"/>
  <c r="P617" i="13"/>
  <c r="Q617" i="13"/>
  <c r="T617" i="13" s="1"/>
  <c r="R617" i="13"/>
  <c r="U617" i="13" s="1"/>
  <c r="S617" i="13"/>
  <c r="L618" i="13"/>
  <c r="O618" i="13" s="1"/>
  <c r="M618" i="13"/>
  <c r="P618" i="13" s="1"/>
  <c r="N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R621" i="13"/>
  <c r="R619" i="13" s="1"/>
  <c r="S621" i="13"/>
  <c r="L622" i="13"/>
  <c r="O622" i="13" s="1"/>
  <c r="M622" i="13"/>
  <c r="N622" i="13"/>
  <c r="P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29" i="13" s="1"/>
  <c r="I627" i="13"/>
  <c r="K627" i="13" s="1"/>
  <c r="I628" i="13"/>
  <c r="K628" i="13" s="1"/>
  <c r="J632" i="13"/>
  <c r="J626" i="13" s="1"/>
  <c r="I635" i="13"/>
  <c r="K635" i="13" s="1"/>
  <c r="J635" i="13"/>
  <c r="J636" i="13"/>
  <c r="L642" i="13"/>
  <c r="O642" i="13" s="1"/>
  <c r="L643" i="13"/>
  <c r="M643" i="13"/>
  <c r="N643" i="13"/>
  <c r="O643" i="13"/>
  <c r="Q643" i="13"/>
  <c r="R643" i="13"/>
  <c r="S643" i="13"/>
  <c r="T643" i="13"/>
  <c r="U643" i="13"/>
  <c r="L644" i="13"/>
  <c r="O644" i="13" s="1"/>
  <c r="M644" i="13"/>
  <c r="N644" i="13"/>
  <c r="P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U647" i="13" s="1"/>
  <c r="S647" i="13"/>
  <c r="S644" i="13" s="1"/>
  <c r="L648" i="13"/>
  <c r="O648" i="13" s="1"/>
  <c r="M648" i="13"/>
  <c r="P648" i="13" s="1"/>
  <c r="N648" i="13"/>
  <c r="Q648" i="13"/>
  <c r="T648" i="13" s="1"/>
  <c r="R648" i="13"/>
  <c r="S648" i="13"/>
  <c r="U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O691" i="13" s="1"/>
  <c r="M691" i="13"/>
  <c r="M690" i="13" s="1"/>
  <c r="P690" i="13" s="1"/>
  <c r="N691" i="13"/>
  <c r="P691" i="13"/>
  <c r="Q691" i="13"/>
  <c r="T691" i="13" s="1"/>
  <c r="R691" i="13"/>
  <c r="U691" i="13" s="1"/>
  <c r="S691" i="13"/>
  <c r="L692" i="13"/>
  <c r="O692" i="13" s="1"/>
  <c r="M692" i="13"/>
  <c r="N692" i="13"/>
  <c r="P692" i="13"/>
  <c r="L693" i="13"/>
  <c r="O693" i="13" s="1"/>
  <c r="M693" i="13"/>
  <c r="P693" i="13" s="1"/>
  <c r="N693" i="13"/>
  <c r="O694" i="13"/>
  <c r="P694" i="13"/>
  <c r="T694" i="13"/>
  <c r="U694" i="13"/>
  <c r="O695" i="13"/>
  <c r="P695" i="13"/>
  <c r="Q695" i="13"/>
  <c r="Q693" i="13" s="1"/>
  <c r="R695" i="13"/>
  <c r="R693" i="13" s="1"/>
  <c r="S695" i="13"/>
  <c r="L696" i="13"/>
  <c r="M696" i="13"/>
  <c r="N696" i="13"/>
  <c r="O696" i="13"/>
  <c r="P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N715" i="13"/>
  <c r="Q715" i="13"/>
  <c r="Q714" i="13" s="1"/>
  <c r="T714" i="13" s="1"/>
  <c r="R715" i="13"/>
  <c r="S715" i="13"/>
  <c r="S714" i="13" s="1"/>
  <c r="L716" i="13"/>
  <c r="M716" i="13"/>
  <c r="N716" i="13"/>
  <c r="N714" i="13" s="1"/>
  <c r="O716" i="13"/>
  <c r="P716" i="13"/>
  <c r="Q716" i="13"/>
  <c r="R716" i="13"/>
  <c r="S716" i="13"/>
  <c r="T716" i="13"/>
  <c r="U716" i="13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J727" i="13"/>
  <c r="L729" i="13"/>
  <c r="M729" i="13"/>
  <c r="N729" i="13"/>
  <c r="Q729" i="13"/>
  <c r="R729" i="13"/>
  <c r="S729" i="13"/>
  <c r="T729" i="13"/>
  <c r="L730" i="13"/>
  <c r="M730" i="13"/>
  <c r="N730" i="13"/>
  <c r="O730" i="13"/>
  <c r="P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S733" i="13"/>
  <c r="S730" i="13" s="1"/>
  <c r="L734" i="13"/>
  <c r="M734" i="13"/>
  <c r="P734" i="13" s="1"/>
  <c r="N734" i="13"/>
  <c r="O734" i="13"/>
  <c r="Q734" i="13"/>
  <c r="R734" i="13"/>
  <c r="S734" i="13"/>
  <c r="T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0" i="13"/>
  <c r="O760" i="13" s="1"/>
  <c r="L761" i="13"/>
  <c r="M761" i="13"/>
  <c r="N761" i="13"/>
  <c r="N760" i="13" s="1"/>
  <c r="O761" i="13"/>
  <c r="Q761" i="13"/>
  <c r="R761" i="13"/>
  <c r="S761" i="13"/>
  <c r="T761" i="13"/>
  <c r="U761" i="13"/>
  <c r="L762" i="13"/>
  <c r="O762" i="13" s="1"/>
  <c r="M762" i="13"/>
  <c r="N762" i="13"/>
  <c r="P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2" i="13" s="1"/>
  <c r="T762" i="13" s="1"/>
  <c r="R765" i="13"/>
  <c r="R763" i="13" s="1"/>
  <c r="U763" i="13" s="1"/>
  <c r="S765" i="13"/>
  <c r="L766" i="13"/>
  <c r="M766" i="13"/>
  <c r="N766" i="13"/>
  <c r="O766" i="13"/>
  <c r="P766" i="13"/>
  <c r="Q766" i="13"/>
  <c r="R766" i="13"/>
  <c r="S766" i="13"/>
  <c r="T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O22" i="12" s="1"/>
  <c r="M22" i="12"/>
  <c r="N22" i="12"/>
  <c r="Q22" i="12"/>
  <c r="R22" i="12"/>
  <c r="R19" i="12" s="1"/>
  <c r="S22" i="12"/>
  <c r="S19" i="12" s="1"/>
  <c r="U22" i="12"/>
  <c r="L25" i="12"/>
  <c r="O25" i="12" s="1"/>
  <c r="M25" i="12"/>
  <c r="N25" i="12"/>
  <c r="Q25" i="12"/>
  <c r="T25" i="12" s="1"/>
  <c r="R25" i="12"/>
  <c r="S25" i="12"/>
  <c r="S24" i="12" s="1"/>
  <c r="U25" i="12"/>
  <c r="Q26" i="12"/>
  <c r="T26" i="12" s="1"/>
  <c r="R26" i="12"/>
  <c r="R24" i="12" s="1"/>
  <c r="U24" i="12" s="1"/>
  <c r="S26" i="12"/>
  <c r="U26" i="12"/>
  <c r="L45" i="12"/>
  <c r="O45" i="12" s="1"/>
  <c r="M45" i="12"/>
  <c r="N45" i="12"/>
  <c r="P45" i="12"/>
  <c r="Q45" i="12"/>
  <c r="R45" i="12"/>
  <c r="R44" i="12" s="1"/>
  <c r="U44" i="12" s="1"/>
  <c r="S45" i="12"/>
  <c r="T45" i="12"/>
  <c r="Q46" i="12"/>
  <c r="T46" i="12" s="1"/>
  <c r="R46" i="12"/>
  <c r="U46" i="12" s="1"/>
  <c r="S46" i="12"/>
  <c r="Q47" i="12"/>
  <c r="R47" i="12"/>
  <c r="U47" i="12" s="1"/>
  <c r="S47" i="12"/>
  <c r="T47" i="12"/>
  <c r="O48" i="12"/>
  <c r="P48" i="12"/>
  <c r="T48" i="12"/>
  <c r="U48" i="12"/>
  <c r="L49" i="12"/>
  <c r="L47" i="12" s="1"/>
  <c r="M49" i="12"/>
  <c r="M47" i="12" s="1"/>
  <c r="N49" i="12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O52" i="12" s="1"/>
  <c r="M52" i="12"/>
  <c r="P52" i="12" s="1"/>
  <c r="N52" i="12"/>
  <c r="T52" i="12"/>
  <c r="U52" i="12"/>
  <c r="R59" i="12"/>
  <c r="U59" i="12" s="1"/>
  <c r="L60" i="12"/>
  <c r="M60" i="12"/>
  <c r="P60" i="12" s="1"/>
  <c r="N60" i="12"/>
  <c r="O60" i="12"/>
  <c r="Q60" i="12"/>
  <c r="Q59" i="12" s="1"/>
  <c r="T59" i="12" s="1"/>
  <c r="R60" i="12"/>
  <c r="S60" i="12"/>
  <c r="U60" i="12"/>
  <c r="Q61" i="12"/>
  <c r="T61" i="12" s="1"/>
  <c r="R61" i="12"/>
  <c r="U61" i="12" s="1"/>
  <c r="S61" i="12"/>
  <c r="S59" i="12" s="1"/>
  <c r="Q62" i="12"/>
  <c r="R62" i="12"/>
  <c r="U62" i="12" s="1"/>
  <c r="S62" i="12"/>
  <c r="T62" i="12"/>
  <c r="O63" i="12"/>
  <c r="P63" i="12"/>
  <c r="T63" i="12"/>
  <c r="U63" i="12"/>
  <c r="L64" i="12"/>
  <c r="M64" i="12"/>
  <c r="N64" i="12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L65" i="12" s="1"/>
  <c r="O65" i="12" s="1"/>
  <c r="M67" i="12"/>
  <c r="M65" i="12" s="1"/>
  <c r="P65" i="12" s="1"/>
  <c r="N67" i="12"/>
  <c r="N65" i="12" s="1"/>
  <c r="T67" i="12"/>
  <c r="U67" i="12"/>
  <c r="L73" i="12"/>
  <c r="O73" i="12" s="1"/>
  <c r="M73" i="12"/>
  <c r="N73" i="12"/>
  <c r="P73" i="12"/>
  <c r="Q73" i="12"/>
  <c r="R73" i="12"/>
  <c r="U73" i="12" s="1"/>
  <c r="S73" i="12"/>
  <c r="T73" i="12"/>
  <c r="O76" i="12"/>
  <c r="P76" i="12"/>
  <c r="T76" i="12"/>
  <c r="U76" i="12"/>
  <c r="L77" i="12"/>
  <c r="M77" i="12"/>
  <c r="N77" i="12"/>
  <c r="N75" i="12" s="1"/>
  <c r="Q77" i="12"/>
  <c r="Q74" i="12" s="1"/>
  <c r="T74" i="12" s="1"/>
  <c r="R77" i="12"/>
  <c r="R74" i="12" s="1"/>
  <c r="U74" i="12" s="1"/>
  <c r="S77" i="12"/>
  <c r="S74" i="12" s="1"/>
  <c r="S72" i="12" s="1"/>
  <c r="Q78" i="12"/>
  <c r="R78" i="12"/>
  <c r="U78" i="12" s="1"/>
  <c r="S78" i="12"/>
  <c r="T78" i="12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T80" i="12"/>
  <c r="U80" i="12"/>
  <c r="J82" i="12"/>
  <c r="J70" i="12" s="1"/>
  <c r="J83" i="12"/>
  <c r="J71" i="12" s="1"/>
  <c r="I84" i="12"/>
  <c r="K84" i="12" s="1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N95" i="12"/>
  <c r="O95" i="12"/>
  <c r="Q95" i="12"/>
  <c r="R95" i="12"/>
  <c r="S95" i="12"/>
  <c r="O98" i="12"/>
  <c r="P98" i="12"/>
  <c r="T98" i="12"/>
  <c r="U98" i="12"/>
  <c r="L99" i="12"/>
  <c r="M99" i="12"/>
  <c r="N99" i="12"/>
  <c r="N97" i="12" s="1"/>
  <c r="Q99" i="12"/>
  <c r="Q97" i="12" s="1"/>
  <c r="T97" i="12" s="1"/>
  <c r="R99" i="12"/>
  <c r="S99" i="12"/>
  <c r="Q100" i="12"/>
  <c r="T100" i="12" s="1"/>
  <c r="R100" i="12"/>
  <c r="S100" i="12"/>
  <c r="U100" i="12"/>
  <c r="O101" i="12"/>
  <c r="P101" i="12"/>
  <c r="T101" i="12"/>
  <c r="U101" i="12"/>
  <c r="L102" i="12"/>
  <c r="M102" i="12"/>
  <c r="P102" i="12" s="1"/>
  <c r="N102" i="12"/>
  <c r="N100" i="12" s="1"/>
  <c r="T102" i="12"/>
  <c r="U102" i="12"/>
  <c r="I108" i="12"/>
  <c r="I109" i="12"/>
  <c r="K109" i="12" s="1"/>
  <c r="I114" i="12"/>
  <c r="K114" i="12" s="1"/>
  <c r="J116" i="12"/>
  <c r="L118" i="12"/>
  <c r="O118" i="12" s="1"/>
  <c r="M118" i="12"/>
  <c r="N118" i="12"/>
  <c r="P118" i="12"/>
  <c r="Q118" i="12"/>
  <c r="R118" i="12"/>
  <c r="U118" i="12" s="1"/>
  <c r="S118" i="12"/>
  <c r="O121" i="12"/>
  <c r="P121" i="12"/>
  <c r="T121" i="12"/>
  <c r="U121" i="12"/>
  <c r="L122" i="12"/>
  <c r="M122" i="12"/>
  <c r="P122" i="12" s="1"/>
  <c r="N122" i="12"/>
  <c r="Q122" i="12"/>
  <c r="Q120" i="12" s="1"/>
  <c r="R122" i="12"/>
  <c r="S122" i="12"/>
  <c r="S119" i="12" s="1"/>
  <c r="Q123" i="12"/>
  <c r="R123" i="12"/>
  <c r="U123" i="12" s="1"/>
  <c r="S123" i="12"/>
  <c r="T123" i="12"/>
  <c r="O124" i="12"/>
  <c r="P124" i="12"/>
  <c r="T124" i="12"/>
  <c r="U124" i="12"/>
  <c r="L125" i="12"/>
  <c r="M125" i="12"/>
  <c r="P125" i="12" s="1"/>
  <c r="N125" i="12"/>
  <c r="N123" i="12" s="1"/>
  <c r="T125" i="12"/>
  <c r="U125" i="12"/>
  <c r="I127" i="12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N140" i="12"/>
  <c r="P140" i="12"/>
  <c r="Q140" i="12"/>
  <c r="R140" i="12"/>
  <c r="U140" i="12" s="1"/>
  <c r="S140" i="12"/>
  <c r="T140" i="12"/>
  <c r="O143" i="12"/>
  <c r="P143" i="12"/>
  <c r="T143" i="12"/>
  <c r="U143" i="12"/>
  <c r="L144" i="12"/>
  <c r="M144" i="12"/>
  <c r="N144" i="12"/>
  <c r="Q144" i="12"/>
  <c r="T144" i="12" s="1"/>
  <c r="R144" i="12"/>
  <c r="S144" i="12"/>
  <c r="S141" i="12" s="1"/>
  <c r="Q145" i="12"/>
  <c r="T145" i="12" s="1"/>
  <c r="R145" i="12"/>
  <c r="U145" i="12" s="1"/>
  <c r="S145" i="12"/>
  <c r="O146" i="12"/>
  <c r="P146" i="12"/>
  <c r="T146" i="12"/>
  <c r="U146" i="12"/>
  <c r="L147" i="12"/>
  <c r="L145" i="12" s="1"/>
  <c r="O145" i="12" s="1"/>
  <c r="M147" i="12"/>
  <c r="M145" i="12" s="1"/>
  <c r="P145" i="12" s="1"/>
  <c r="N147" i="12"/>
  <c r="N145" i="12" s="1"/>
  <c r="T147" i="12"/>
  <c r="U147" i="12"/>
  <c r="I150" i="12"/>
  <c r="K150" i="12" s="1"/>
  <c r="I151" i="12"/>
  <c r="K151" i="12" s="1"/>
  <c r="I152" i="12"/>
  <c r="I153" i="12"/>
  <c r="I138" i="12" s="1"/>
  <c r="I154" i="12"/>
  <c r="I136" i="12" s="1"/>
  <c r="K136" i="12" s="1"/>
  <c r="J156" i="12"/>
  <c r="L158" i="12"/>
  <c r="O158" i="12" s="1"/>
  <c r="M158" i="12"/>
  <c r="N158" i="12"/>
  <c r="P158" i="12"/>
  <c r="Q158" i="12"/>
  <c r="R158" i="12"/>
  <c r="U158" i="12" s="1"/>
  <c r="S158" i="12"/>
  <c r="O161" i="12"/>
  <c r="P161" i="12"/>
  <c r="T161" i="12"/>
  <c r="U161" i="12"/>
  <c r="L162" i="12"/>
  <c r="M162" i="12"/>
  <c r="P162" i="12" s="1"/>
  <c r="N162" i="12"/>
  <c r="Q162" i="12"/>
  <c r="Q160" i="12" s="1"/>
  <c r="T160" i="12" s="1"/>
  <c r="R162" i="12"/>
  <c r="S162" i="12"/>
  <c r="S159" i="12" s="1"/>
  <c r="S157" i="12" s="1"/>
  <c r="Q163" i="12"/>
  <c r="R163" i="12"/>
  <c r="U163" i="12" s="1"/>
  <c r="S163" i="12"/>
  <c r="T163" i="12"/>
  <c r="O164" i="12"/>
  <c r="P164" i="12"/>
  <c r="T164" i="12"/>
  <c r="U164" i="12"/>
  <c r="L165" i="12"/>
  <c r="M165" i="12"/>
  <c r="P165" i="12" s="1"/>
  <c r="N165" i="12"/>
  <c r="N163" i="12" s="1"/>
  <c r="T165" i="12"/>
  <c r="U165" i="12"/>
  <c r="I167" i="12"/>
  <c r="K167" i="12" s="1"/>
  <c r="I168" i="12"/>
  <c r="K168" i="12" s="1"/>
  <c r="I169" i="12"/>
  <c r="K169" i="12" s="1"/>
  <c r="J172" i="12"/>
  <c r="L174" i="12"/>
  <c r="O174" i="12" s="1"/>
  <c r="M174" i="12"/>
  <c r="N174" i="12"/>
  <c r="P174" i="12"/>
  <c r="Q174" i="12"/>
  <c r="R174" i="12"/>
  <c r="U174" i="12" s="1"/>
  <c r="S174" i="12"/>
  <c r="O177" i="12"/>
  <c r="P177" i="12"/>
  <c r="T177" i="12"/>
  <c r="U177" i="12"/>
  <c r="L178" i="12"/>
  <c r="M178" i="12"/>
  <c r="N178" i="12"/>
  <c r="Q178" i="12"/>
  <c r="Q176" i="12" s="1"/>
  <c r="T176" i="12" s="1"/>
  <c r="R178" i="12"/>
  <c r="S178" i="12"/>
  <c r="S175" i="12" s="1"/>
  <c r="Q179" i="12"/>
  <c r="R179" i="12"/>
  <c r="U179" i="12" s="1"/>
  <c r="S179" i="12"/>
  <c r="T179" i="12"/>
  <c r="O180" i="12"/>
  <c r="P180" i="12"/>
  <c r="T180" i="12"/>
  <c r="U180" i="12"/>
  <c r="L181" i="12"/>
  <c r="L179" i="12" s="1"/>
  <c r="O179" i="12" s="1"/>
  <c r="M181" i="12"/>
  <c r="P181" i="12" s="1"/>
  <c r="N181" i="12"/>
  <c r="N179" i="12" s="1"/>
  <c r="T181" i="12"/>
  <c r="U181" i="12"/>
  <c r="I183" i="12"/>
  <c r="K184" i="12"/>
  <c r="L187" i="12"/>
  <c r="O187" i="12" s="1"/>
  <c r="M187" i="12"/>
  <c r="P187" i="12" s="1"/>
  <c r="N187" i="12"/>
  <c r="Q187" i="12"/>
  <c r="T187" i="12" s="1"/>
  <c r="R187" i="12"/>
  <c r="S187" i="12"/>
  <c r="O190" i="12"/>
  <c r="P190" i="12"/>
  <c r="T190" i="12"/>
  <c r="U190" i="12"/>
  <c r="L191" i="12"/>
  <c r="L189" i="12" s="1"/>
  <c r="M191" i="12"/>
  <c r="N191" i="12"/>
  <c r="N189" i="12" s="1"/>
  <c r="Q191" i="12"/>
  <c r="R191" i="12"/>
  <c r="R189" i="12" s="1"/>
  <c r="S191" i="12"/>
  <c r="Q192" i="12"/>
  <c r="T192" i="12" s="1"/>
  <c r="R192" i="12"/>
  <c r="U192" i="12" s="1"/>
  <c r="S192" i="12"/>
  <c r="O193" i="12"/>
  <c r="P193" i="12"/>
  <c r="T193" i="12"/>
  <c r="U193" i="12"/>
  <c r="L194" i="12"/>
  <c r="L192" i="12" s="1"/>
  <c r="O192" i="12" s="1"/>
  <c r="M194" i="12"/>
  <c r="N194" i="12"/>
  <c r="N192" i="12" s="1"/>
  <c r="T194" i="12"/>
  <c r="U194" i="12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K209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K230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O267" i="12" s="1"/>
  <c r="M267" i="12"/>
  <c r="P267" i="12" s="1"/>
  <c r="N267" i="12"/>
  <c r="Q267" i="12"/>
  <c r="T267" i="12" s="1"/>
  <c r="R267" i="12"/>
  <c r="S267" i="12"/>
  <c r="U267" i="12"/>
  <c r="O270" i="12"/>
  <c r="P270" i="12"/>
  <c r="T270" i="12"/>
  <c r="U270" i="12"/>
  <c r="L271" i="12"/>
  <c r="M271" i="12"/>
  <c r="M269" i="12" s="1"/>
  <c r="N271" i="12"/>
  <c r="Q271" i="12"/>
  <c r="Q269" i="12" s="1"/>
  <c r="R271" i="12"/>
  <c r="S271" i="12"/>
  <c r="Q272" i="12"/>
  <c r="T272" i="12" s="1"/>
  <c r="R272" i="12"/>
  <c r="U272" i="12" s="1"/>
  <c r="S272" i="12"/>
  <c r="O273" i="12"/>
  <c r="P273" i="12"/>
  <c r="T273" i="12"/>
  <c r="U273" i="12"/>
  <c r="L274" i="12"/>
  <c r="L272" i="12" s="1"/>
  <c r="O272" i="12" s="1"/>
  <c r="M274" i="12"/>
  <c r="N274" i="12"/>
  <c r="N272" i="12" s="1"/>
  <c r="T274" i="12"/>
  <c r="U274" i="12"/>
  <c r="I276" i="12"/>
  <c r="I265" i="12" s="1"/>
  <c r="J281" i="12"/>
  <c r="L283" i="12"/>
  <c r="O283" i="12" s="1"/>
  <c r="M283" i="12"/>
  <c r="N283" i="12"/>
  <c r="Q283" i="12"/>
  <c r="T283" i="12" s="1"/>
  <c r="R283" i="12"/>
  <c r="S283" i="12"/>
  <c r="U283" i="12"/>
  <c r="Q284" i="12"/>
  <c r="T284" i="12" s="1"/>
  <c r="R284" i="12"/>
  <c r="R282" i="12" s="1"/>
  <c r="U282" i="12" s="1"/>
  <c r="S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O285" i="12" s="1"/>
  <c r="M287" i="12"/>
  <c r="N287" i="12"/>
  <c r="N285" i="12" s="1"/>
  <c r="T287" i="12"/>
  <c r="U287" i="12"/>
  <c r="Q288" i="12"/>
  <c r="T288" i="12" s="1"/>
  <c r="R288" i="12"/>
  <c r="S288" i="12"/>
  <c r="U288" i="12"/>
  <c r="O289" i="12"/>
  <c r="P289" i="12"/>
  <c r="T289" i="12"/>
  <c r="U289" i="12"/>
  <c r="L290" i="12"/>
  <c r="O290" i="12" s="1"/>
  <c r="M290" i="12"/>
  <c r="M288" i="12" s="1"/>
  <c r="P288" i="12" s="1"/>
  <c r="N290" i="12"/>
  <c r="N288" i="12" s="1"/>
  <c r="T290" i="12"/>
  <c r="U290" i="12"/>
  <c r="I292" i="12"/>
  <c r="I293" i="12"/>
  <c r="K293" i="12" s="1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O304" i="12"/>
  <c r="Q304" i="12"/>
  <c r="R304" i="12"/>
  <c r="S304" i="12"/>
  <c r="U304" i="12"/>
  <c r="O307" i="12"/>
  <c r="P307" i="12"/>
  <c r="T307" i="12"/>
  <c r="U307" i="12"/>
  <c r="L308" i="12"/>
  <c r="L306" i="12" s="1"/>
  <c r="O306" i="12" s="1"/>
  <c r="M308" i="12"/>
  <c r="N308" i="12"/>
  <c r="N306" i="12" s="1"/>
  <c r="Q308" i="12"/>
  <c r="R308" i="12"/>
  <c r="R305" i="12" s="1"/>
  <c r="R303" i="12" s="1"/>
  <c r="U303" i="12" s="1"/>
  <c r="S308" i="12"/>
  <c r="Q309" i="12"/>
  <c r="T309" i="12" s="1"/>
  <c r="R309" i="12"/>
  <c r="U309" i="12" s="1"/>
  <c r="S309" i="12"/>
  <c r="O310" i="12"/>
  <c r="P310" i="12"/>
  <c r="T310" i="12"/>
  <c r="U310" i="12"/>
  <c r="L311" i="12"/>
  <c r="O311" i="12" s="1"/>
  <c r="M311" i="12"/>
  <c r="P311" i="12" s="1"/>
  <c r="N311" i="12"/>
  <c r="N309" i="12" s="1"/>
  <c r="T311" i="12"/>
  <c r="U311" i="12"/>
  <c r="I314" i="12"/>
  <c r="K314" i="12" s="1"/>
  <c r="J319" i="12"/>
  <c r="L321" i="12"/>
  <c r="O321" i="12" s="1"/>
  <c r="M321" i="12"/>
  <c r="P321" i="12" s="1"/>
  <c r="N321" i="12"/>
  <c r="Q321" i="12"/>
  <c r="T321" i="12" s="1"/>
  <c r="R321" i="12"/>
  <c r="S321" i="12"/>
  <c r="S320" i="12" s="1"/>
  <c r="U321" i="12"/>
  <c r="Q322" i="12"/>
  <c r="T322" i="12" s="1"/>
  <c r="R322" i="12"/>
  <c r="S322" i="12"/>
  <c r="U322" i="12"/>
  <c r="Q323" i="12"/>
  <c r="T323" i="12" s="1"/>
  <c r="R323" i="12"/>
  <c r="U323" i="12" s="1"/>
  <c r="S323" i="12"/>
  <c r="O324" i="12"/>
  <c r="P324" i="12"/>
  <c r="T324" i="12"/>
  <c r="U324" i="12"/>
  <c r="L325" i="12"/>
  <c r="L323" i="12" s="1"/>
  <c r="O323" i="12" s="1"/>
  <c r="M325" i="12"/>
  <c r="N325" i="12"/>
  <c r="T325" i="12"/>
  <c r="U325" i="12"/>
  <c r="Q326" i="12"/>
  <c r="T326" i="12" s="1"/>
  <c r="R326" i="12"/>
  <c r="S326" i="12"/>
  <c r="U326" i="12"/>
  <c r="O327" i="12"/>
  <c r="P327" i="12"/>
  <c r="T327" i="12"/>
  <c r="U327" i="12"/>
  <c r="L328" i="12"/>
  <c r="O328" i="12" s="1"/>
  <c r="M328" i="12"/>
  <c r="N328" i="12"/>
  <c r="N326" i="12" s="1"/>
  <c r="T328" i="12"/>
  <c r="U328" i="12"/>
  <c r="I330" i="12"/>
  <c r="L334" i="12"/>
  <c r="O334" i="12" s="1"/>
  <c r="M334" i="12"/>
  <c r="N334" i="12"/>
  <c r="P334" i="12"/>
  <c r="Q334" i="12"/>
  <c r="R334" i="12"/>
  <c r="S334" i="12"/>
  <c r="S333" i="12" s="1"/>
  <c r="Q335" i="12"/>
  <c r="T335" i="12" s="1"/>
  <c r="R335" i="12"/>
  <c r="U335" i="12" s="1"/>
  <c r="S335" i="12"/>
  <c r="Q336" i="12"/>
  <c r="R336" i="12"/>
  <c r="U336" i="12" s="1"/>
  <c r="S336" i="12"/>
  <c r="T336" i="12"/>
  <c r="O337" i="12"/>
  <c r="P337" i="12"/>
  <c r="T337" i="12"/>
  <c r="U337" i="12"/>
  <c r="L338" i="12"/>
  <c r="M338" i="12"/>
  <c r="M336" i="12" s="1"/>
  <c r="N338" i="12"/>
  <c r="N336" i="12" s="1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M341" i="12"/>
  <c r="N341" i="12"/>
  <c r="N339" i="12" s="1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Q357" i="12"/>
  <c r="R357" i="12"/>
  <c r="S357" i="12"/>
  <c r="S356" i="12" s="1"/>
  <c r="T357" i="12"/>
  <c r="Q358" i="12"/>
  <c r="Q356" i="12" s="1"/>
  <c r="T356" i="12" s="1"/>
  <c r="R358" i="12"/>
  <c r="U358" i="12" s="1"/>
  <c r="S358" i="12"/>
  <c r="T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N361" i="12"/>
  <c r="T361" i="12"/>
  <c r="U361" i="12"/>
  <c r="Q362" i="12"/>
  <c r="R362" i="12"/>
  <c r="U362" i="12" s="1"/>
  <c r="S362" i="12"/>
  <c r="T362" i="12"/>
  <c r="O363" i="12"/>
  <c r="P363" i="12"/>
  <c r="T363" i="12"/>
  <c r="U363" i="12"/>
  <c r="L364" i="12"/>
  <c r="O364" i="12" s="1"/>
  <c r="M364" i="12"/>
  <c r="P364" i="12" s="1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65" i="12" s="1"/>
  <c r="J372" i="12"/>
  <c r="K372" i="12"/>
  <c r="D373" i="12"/>
  <c r="L376" i="12"/>
  <c r="O376" i="12" s="1"/>
  <c r="M376" i="12"/>
  <c r="N376" i="12"/>
  <c r="N375" i="12" s="1"/>
  <c r="P376" i="12"/>
  <c r="Q376" i="12"/>
  <c r="R376" i="12"/>
  <c r="S376" i="12"/>
  <c r="T376" i="12"/>
  <c r="L377" i="12"/>
  <c r="O377" i="12" s="1"/>
  <c r="M377" i="12"/>
  <c r="N377" i="12"/>
  <c r="P377" i="12"/>
  <c r="L378" i="12"/>
  <c r="O378" i="12" s="1"/>
  <c r="M378" i="12"/>
  <c r="P378" i="12" s="1"/>
  <c r="N378" i="12"/>
  <c r="O379" i="12"/>
  <c r="P379" i="12"/>
  <c r="T379" i="12"/>
  <c r="U379" i="12"/>
  <c r="O380" i="12"/>
  <c r="P380" i="12"/>
  <c r="Q380" i="12"/>
  <c r="Q377" i="12" s="1"/>
  <c r="R380" i="12"/>
  <c r="S380" i="12"/>
  <c r="L381" i="12"/>
  <c r="O381" i="12" s="1"/>
  <c r="M381" i="12"/>
  <c r="N381" i="12"/>
  <c r="P381" i="12"/>
  <c r="Q381" i="12"/>
  <c r="T381" i="12" s="1"/>
  <c r="R381" i="12"/>
  <c r="S381" i="12"/>
  <c r="U381" i="12"/>
  <c r="O382" i="12"/>
  <c r="P382" i="12"/>
  <c r="T382" i="12"/>
  <c r="U382" i="12"/>
  <c r="O383" i="12"/>
  <c r="P383" i="12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L392" i="12" s="1"/>
  <c r="O392" i="12" s="1"/>
  <c r="M393" i="12"/>
  <c r="N393" i="12"/>
  <c r="N392" i="12" s="1"/>
  <c r="P393" i="12"/>
  <c r="Q393" i="12"/>
  <c r="T393" i="12" s="1"/>
  <c r="R393" i="12"/>
  <c r="S393" i="12"/>
  <c r="L394" i="12"/>
  <c r="O394" i="12" s="1"/>
  <c r="M394" i="12"/>
  <c r="P394" i="12" s="1"/>
  <c r="N394" i="12"/>
  <c r="Q394" i="12"/>
  <c r="T394" i="12" s="1"/>
  <c r="R394" i="12"/>
  <c r="U394" i="12" s="1"/>
  <c r="S394" i="12"/>
  <c r="L395" i="12"/>
  <c r="O395" i="12" s="1"/>
  <c r="M395" i="12"/>
  <c r="N395" i="12"/>
  <c r="P395" i="12"/>
  <c r="Q395" i="12"/>
  <c r="R395" i="12"/>
  <c r="U395" i="12" s="1"/>
  <c r="S395" i="12"/>
  <c r="T395" i="12"/>
  <c r="O396" i="12"/>
  <c r="P396" i="12"/>
  <c r="T396" i="12"/>
  <c r="U396" i="12"/>
  <c r="O397" i="12"/>
  <c r="P397" i="12"/>
  <c r="T397" i="12"/>
  <c r="U397" i="12"/>
  <c r="L398" i="12"/>
  <c r="O398" i="12" s="1"/>
  <c r="M398" i="12"/>
  <c r="N398" i="12"/>
  <c r="P398" i="12"/>
  <c r="Q398" i="12"/>
  <c r="R398" i="12"/>
  <c r="U398" i="12" s="1"/>
  <c r="S398" i="12"/>
  <c r="T398" i="12"/>
  <c r="O399" i="12"/>
  <c r="P399" i="12"/>
  <c r="T399" i="12"/>
  <c r="U399" i="12"/>
  <c r="O400" i="12"/>
  <c r="P400" i="12"/>
  <c r="T400" i="12"/>
  <c r="U400" i="12"/>
  <c r="L414" i="12"/>
  <c r="M414" i="12"/>
  <c r="N414" i="12"/>
  <c r="O414" i="12"/>
  <c r="Q414" i="12"/>
  <c r="R414" i="12"/>
  <c r="U414" i="12" s="1"/>
  <c r="S414" i="12"/>
  <c r="T414" i="12"/>
  <c r="L415" i="12"/>
  <c r="M415" i="12"/>
  <c r="N415" i="12"/>
  <c r="N413" i="12" s="1"/>
  <c r="P415" i="12"/>
  <c r="L416" i="12"/>
  <c r="O416" i="12" s="1"/>
  <c r="M416" i="12"/>
  <c r="P416" i="12" s="1"/>
  <c r="N416" i="12"/>
  <c r="O417" i="12"/>
  <c r="P417" i="12"/>
  <c r="T417" i="12"/>
  <c r="U417" i="12"/>
  <c r="O418" i="12"/>
  <c r="P418" i="12"/>
  <c r="Q418" i="12"/>
  <c r="R418" i="12"/>
  <c r="S418" i="12"/>
  <c r="S415" i="12" s="1"/>
  <c r="L419" i="12"/>
  <c r="M419" i="12"/>
  <c r="P419" i="12" s="1"/>
  <c r="N419" i="12"/>
  <c r="O419" i="12"/>
  <c r="Q419" i="12"/>
  <c r="T419" i="12" s="1"/>
  <c r="R419" i="12"/>
  <c r="S419" i="12"/>
  <c r="U419" i="12"/>
  <c r="O420" i="12"/>
  <c r="P420" i="12"/>
  <c r="T420" i="12"/>
  <c r="U420" i="12"/>
  <c r="O421" i="12"/>
  <c r="P421" i="12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23" i="12" s="1"/>
  <c r="I412" i="12" s="1"/>
  <c r="K412" i="12" s="1"/>
  <c r="I441" i="12"/>
  <c r="K441" i="12" s="1"/>
  <c r="J446" i="12"/>
  <c r="J440" i="12" s="1"/>
  <c r="J423" i="12" s="1"/>
  <c r="J412" i="12" s="1"/>
  <c r="J447" i="12"/>
  <c r="J441" i="12" s="1"/>
  <c r="I457" i="12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3" i="12"/>
  <c r="O493" i="12" s="1"/>
  <c r="L494" i="12"/>
  <c r="O494" i="12" s="1"/>
  <c r="M494" i="12"/>
  <c r="N494" i="12"/>
  <c r="Q494" i="12"/>
  <c r="R494" i="12"/>
  <c r="U494" i="12" s="1"/>
  <c r="S494" i="12"/>
  <c r="L495" i="12"/>
  <c r="O495" i="12" s="1"/>
  <c r="M495" i="12"/>
  <c r="P495" i="12" s="1"/>
  <c r="N495" i="12"/>
  <c r="L496" i="12"/>
  <c r="M496" i="12"/>
  <c r="P496" i="12" s="1"/>
  <c r="N496" i="12"/>
  <c r="O496" i="12"/>
  <c r="O497" i="12"/>
  <c r="P497" i="12"/>
  <c r="T497" i="12"/>
  <c r="U497" i="12"/>
  <c r="O498" i="12"/>
  <c r="P498" i="12"/>
  <c r="Q498" i="12"/>
  <c r="R498" i="12"/>
  <c r="R495" i="12" s="1"/>
  <c r="S498" i="12"/>
  <c r="S496" i="12" s="1"/>
  <c r="L499" i="12"/>
  <c r="O499" i="12" s="1"/>
  <c r="M499" i="12"/>
  <c r="P499" i="12" s="1"/>
  <c r="N499" i="12"/>
  <c r="Q499" i="12"/>
  <c r="R499" i="12"/>
  <c r="U499" i="12" s="1"/>
  <c r="S499" i="12"/>
  <c r="T499" i="12"/>
  <c r="O500" i="12"/>
  <c r="P500" i="12"/>
  <c r="T500" i="12"/>
  <c r="U500" i="12"/>
  <c r="O501" i="12"/>
  <c r="P501" i="12"/>
  <c r="T501" i="12"/>
  <c r="U501" i="12"/>
  <c r="I503" i="12"/>
  <c r="K503" i="12" s="1"/>
  <c r="I504" i="12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N514" i="12"/>
  <c r="P514" i="12"/>
  <c r="Q514" i="12"/>
  <c r="R514" i="12"/>
  <c r="R513" i="12" s="1"/>
  <c r="U513" i="12" s="1"/>
  <c r="S514" i="12"/>
  <c r="Q515" i="12"/>
  <c r="T515" i="12" s="1"/>
  <c r="R515" i="12"/>
  <c r="U515" i="12" s="1"/>
  <c r="S515" i="12"/>
  <c r="S513" i="12" s="1"/>
  <c r="Q516" i="12"/>
  <c r="R516" i="12"/>
  <c r="U516" i="12" s="1"/>
  <c r="S516" i="12"/>
  <c r="T516" i="12"/>
  <c r="O517" i="12"/>
  <c r="P517" i="12"/>
  <c r="T517" i="12"/>
  <c r="U517" i="12"/>
  <c r="L518" i="12"/>
  <c r="M518" i="12"/>
  <c r="M516" i="12" s="1"/>
  <c r="P516" i="12" s="1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M521" i="12"/>
  <c r="M519" i="12" s="1"/>
  <c r="P519" i="12" s="1"/>
  <c r="N521" i="12"/>
  <c r="N519" i="12" s="1"/>
  <c r="T521" i="12"/>
  <c r="U521" i="12"/>
  <c r="K523" i="12"/>
  <c r="K524" i="12"/>
  <c r="I533" i="12"/>
  <c r="J533" i="12"/>
  <c r="K533" i="12"/>
  <c r="L535" i="12"/>
  <c r="M535" i="12"/>
  <c r="N535" i="12"/>
  <c r="N534" i="12" s="1"/>
  <c r="Q535" i="12"/>
  <c r="T535" i="12" s="1"/>
  <c r="R535" i="12"/>
  <c r="S535" i="12"/>
  <c r="L536" i="12"/>
  <c r="O536" i="12" s="1"/>
  <c r="M536" i="12"/>
  <c r="P536" i="12" s="1"/>
  <c r="N536" i="12"/>
  <c r="Q536" i="12"/>
  <c r="T536" i="12" s="1"/>
  <c r="R536" i="12"/>
  <c r="U536" i="12" s="1"/>
  <c r="S536" i="12"/>
  <c r="L537" i="12"/>
  <c r="O537" i="12" s="1"/>
  <c r="M537" i="12"/>
  <c r="N537" i="12"/>
  <c r="P537" i="12"/>
  <c r="Q537" i="12"/>
  <c r="R537" i="12"/>
  <c r="U537" i="12" s="1"/>
  <c r="S537" i="12"/>
  <c r="T537" i="12"/>
  <c r="O538" i="12"/>
  <c r="P538" i="12"/>
  <c r="T538" i="12"/>
  <c r="U538" i="12"/>
  <c r="O539" i="12"/>
  <c r="P539" i="12"/>
  <c r="T539" i="12"/>
  <c r="U539" i="12"/>
  <c r="L540" i="12"/>
  <c r="O540" i="12" s="1"/>
  <c r="M540" i="12"/>
  <c r="N540" i="12"/>
  <c r="P540" i="12"/>
  <c r="Q540" i="12"/>
  <c r="T540" i="12" s="1"/>
  <c r="R540" i="12"/>
  <c r="U540" i="12" s="1"/>
  <c r="S540" i="12"/>
  <c r="O541" i="12"/>
  <c r="P541" i="12"/>
  <c r="T541" i="12"/>
  <c r="U541" i="12"/>
  <c r="O542" i="12"/>
  <c r="P542" i="12"/>
  <c r="T542" i="12"/>
  <c r="U542" i="12"/>
  <c r="I554" i="12"/>
  <c r="K554" i="12" s="1"/>
  <c r="J554" i="12"/>
  <c r="Q555" i="12"/>
  <c r="T555" i="12" s="1"/>
  <c r="L556" i="12"/>
  <c r="O556" i="12" s="1"/>
  <c r="M556" i="12"/>
  <c r="N556" i="12"/>
  <c r="N555" i="12" s="1"/>
  <c r="Q556" i="12"/>
  <c r="R556" i="12"/>
  <c r="U556" i="12" s="1"/>
  <c r="S556" i="12"/>
  <c r="S555" i="12" s="1"/>
  <c r="T556" i="12"/>
  <c r="L557" i="12"/>
  <c r="O557" i="12" s="1"/>
  <c r="M557" i="12"/>
  <c r="N557" i="12"/>
  <c r="P557" i="12"/>
  <c r="Q557" i="12"/>
  <c r="T557" i="12" s="1"/>
  <c r="R557" i="12"/>
  <c r="S557" i="12"/>
  <c r="L558" i="12"/>
  <c r="O558" i="12" s="1"/>
  <c r="M558" i="12"/>
  <c r="P558" i="12" s="1"/>
  <c r="N558" i="12"/>
  <c r="Q558" i="12"/>
  <c r="T558" i="12" s="1"/>
  <c r="R558" i="12"/>
  <c r="U558" i="12" s="1"/>
  <c r="S558" i="12"/>
  <c r="O559" i="12"/>
  <c r="P559" i="12"/>
  <c r="T559" i="12"/>
  <c r="U559" i="12"/>
  <c r="O560" i="12"/>
  <c r="P560" i="12"/>
  <c r="T560" i="12"/>
  <c r="U560" i="12"/>
  <c r="L561" i="12"/>
  <c r="O561" i="12" s="1"/>
  <c r="M561" i="12"/>
  <c r="P561" i="12" s="1"/>
  <c r="N561" i="12"/>
  <c r="Q561" i="12"/>
  <c r="T561" i="12" s="1"/>
  <c r="R561" i="12"/>
  <c r="U561" i="12" s="1"/>
  <c r="S561" i="12"/>
  <c r="O562" i="12"/>
  <c r="P562" i="12"/>
  <c r="T562" i="12"/>
  <c r="U562" i="12"/>
  <c r="O563" i="12"/>
  <c r="P563" i="12"/>
  <c r="T563" i="12"/>
  <c r="U563" i="12"/>
  <c r="I575" i="12"/>
  <c r="J575" i="12"/>
  <c r="K575" i="12"/>
  <c r="L577" i="12"/>
  <c r="M577" i="12"/>
  <c r="N577" i="12"/>
  <c r="N576" i="12" s="1"/>
  <c r="P577" i="12"/>
  <c r="Q577" i="12"/>
  <c r="T577" i="12" s="1"/>
  <c r="R577" i="12"/>
  <c r="S577" i="12"/>
  <c r="L578" i="12"/>
  <c r="O578" i="12" s="1"/>
  <c r="M578" i="12"/>
  <c r="P578" i="12" s="1"/>
  <c r="N578" i="12"/>
  <c r="Q578" i="12"/>
  <c r="R578" i="12"/>
  <c r="U578" i="12" s="1"/>
  <c r="S578" i="12"/>
  <c r="T578" i="12"/>
  <c r="L579" i="12"/>
  <c r="M579" i="12"/>
  <c r="P579" i="12" s="1"/>
  <c r="N579" i="12"/>
  <c r="O579" i="12"/>
  <c r="Q579" i="12"/>
  <c r="T579" i="12" s="1"/>
  <c r="R579" i="12"/>
  <c r="U579" i="12" s="1"/>
  <c r="S579" i="12"/>
  <c r="O580" i="12"/>
  <c r="P580" i="12"/>
  <c r="T580" i="12"/>
  <c r="U580" i="12"/>
  <c r="O581" i="12"/>
  <c r="P581" i="12"/>
  <c r="T581" i="12"/>
  <c r="U581" i="12"/>
  <c r="L582" i="12"/>
  <c r="O582" i="12" s="1"/>
  <c r="M582" i="12"/>
  <c r="P582" i="12" s="1"/>
  <c r="N582" i="12"/>
  <c r="Q582" i="12"/>
  <c r="T582" i="12" s="1"/>
  <c r="R582" i="12"/>
  <c r="U582" i="12" s="1"/>
  <c r="S582" i="12"/>
  <c r="O583" i="12"/>
  <c r="P583" i="12"/>
  <c r="T583" i="12"/>
  <c r="U583" i="12"/>
  <c r="O584" i="12"/>
  <c r="P584" i="12"/>
  <c r="T584" i="12"/>
  <c r="U584" i="12"/>
  <c r="N599" i="12"/>
  <c r="Q599" i="12"/>
  <c r="T599" i="12" s="1"/>
  <c r="L600" i="12"/>
  <c r="L599" i="12" s="1"/>
  <c r="O599" i="12" s="1"/>
  <c r="M600" i="12"/>
  <c r="N600" i="12"/>
  <c r="P600" i="12"/>
  <c r="Q600" i="12"/>
  <c r="T600" i="12" s="1"/>
  <c r="R600" i="12"/>
  <c r="S600" i="12"/>
  <c r="L601" i="12"/>
  <c r="O601" i="12" s="1"/>
  <c r="M601" i="12"/>
  <c r="P601" i="12" s="1"/>
  <c r="N601" i="12"/>
  <c r="Q601" i="12"/>
  <c r="T601" i="12" s="1"/>
  <c r="R601" i="12"/>
  <c r="U601" i="12" s="1"/>
  <c r="S601" i="12"/>
  <c r="L602" i="12"/>
  <c r="O602" i="12" s="1"/>
  <c r="M602" i="12"/>
  <c r="P602" i="12" s="1"/>
  <c r="N602" i="12"/>
  <c r="Q602" i="12"/>
  <c r="R602" i="12"/>
  <c r="U602" i="12" s="1"/>
  <c r="S602" i="12"/>
  <c r="T602" i="12"/>
  <c r="O603" i="12"/>
  <c r="P603" i="12"/>
  <c r="T603" i="12"/>
  <c r="U603" i="12"/>
  <c r="O604" i="12"/>
  <c r="P604" i="12"/>
  <c r="T604" i="12"/>
  <c r="U604" i="12"/>
  <c r="L605" i="12"/>
  <c r="O605" i="12" s="1"/>
  <c r="M605" i="12"/>
  <c r="N605" i="12"/>
  <c r="P605" i="12"/>
  <c r="Q605" i="12"/>
  <c r="R605" i="12"/>
  <c r="U605" i="12" s="1"/>
  <c r="S605" i="12"/>
  <c r="T605" i="12"/>
  <c r="O606" i="12"/>
  <c r="P606" i="12"/>
  <c r="T606" i="12"/>
  <c r="U606" i="12"/>
  <c r="O607" i="12"/>
  <c r="P607" i="12"/>
  <c r="T607" i="12"/>
  <c r="U607" i="12"/>
  <c r="L617" i="12"/>
  <c r="O617" i="12" s="1"/>
  <c r="M617" i="12"/>
  <c r="N617" i="12"/>
  <c r="Q617" i="12"/>
  <c r="T617" i="12" s="1"/>
  <c r="R617" i="12"/>
  <c r="U617" i="12" s="1"/>
  <c r="S617" i="12"/>
  <c r="L618" i="12"/>
  <c r="M618" i="12"/>
  <c r="P618" i="12" s="1"/>
  <c r="N618" i="12"/>
  <c r="O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S621" i="12"/>
  <c r="S618" i="12" s="1"/>
  <c r="L622" i="12"/>
  <c r="O622" i="12" s="1"/>
  <c r="M622" i="12"/>
  <c r="N622" i="12"/>
  <c r="P622" i="12"/>
  <c r="Q622" i="12"/>
  <c r="R622" i="12"/>
  <c r="U622" i="12" s="1"/>
  <c r="S622" i="12"/>
  <c r="T622" i="12"/>
  <c r="O623" i="12"/>
  <c r="P623" i="12"/>
  <c r="T623" i="12"/>
  <c r="U623" i="12"/>
  <c r="O624" i="12"/>
  <c r="P624" i="12"/>
  <c r="T624" i="12"/>
  <c r="U624" i="12"/>
  <c r="I626" i="12"/>
  <c r="K630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N643" i="12"/>
  <c r="Q643" i="12"/>
  <c r="T643" i="12" s="1"/>
  <c r="R643" i="12"/>
  <c r="S643" i="12"/>
  <c r="L644" i="12"/>
  <c r="O644" i="12" s="1"/>
  <c r="M644" i="12"/>
  <c r="N644" i="12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R647" i="12"/>
  <c r="S647" i="12"/>
  <c r="S644" i="12" s="1"/>
  <c r="S642" i="12" s="1"/>
  <c r="L648" i="12"/>
  <c r="O648" i="12" s="1"/>
  <c r="M648" i="12"/>
  <c r="P648" i="12" s="1"/>
  <c r="N648" i="12"/>
  <c r="Q648" i="12"/>
  <c r="T648" i="12" s="1"/>
  <c r="R648" i="12"/>
  <c r="S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M690" i="12"/>
  <c r="P690" i="12" s="1"/>
  <c r="L691" i="12"/>
  <c r="M691" i="12"/>
  <c r="P691" i="12" s="1"/>
  <c r="N691" i="12"/>
  <c r="Q691" i="12"/>
  <c r="R691" i="12"/>
  <c r="S691" i="12"/>
  <c r="T691" i="12"/>
  <c r="L692" i="12"/>
  <c r="M692" i="12"/>
  <c r="P692" i="12" s="1"/>
  <c r="N692" i="12"/>
  <c r="O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R695" i="12"/>
  <c r="R692" i="12" s="1"/>
  <c r="S695" i="12"/>
  <c r="S692" i="12" s="1"/>
  <c r="S690" i="12" s="1"/>
  <c r="L696" i="12"/>
  <c r="M696" i="12"/>
  <c r="P696" i="12" s="1"/>
  <c r="N696" i="12"/>
  <c r="O696" i="12"/>
  <c r="Q696" i="12"/>
  <c r="R696" i="12"/>
  <c r="U696" i="12" s="1"/>
  <c r="S696" i="12"/>
  <c r="T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K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N715" i="12"/>
  <c r="N714" i="12" s="1"/>
  <c r="P715" i="12"/>
  <c r="Q715" i="12"/>
  <c r="T715" i="12" s="1"/>
  <c r="R715" i="12"/>
  <c r="S715" i="12"/>
  <c r="L716" i="12"/>
  <c r="O716" i="12" s="1"/>
  <c r="M716" i="12"/>
  <c r="P716" i="12" s="1"/>
  <c r="N716" i="12"/>
  <c r="Q716" i="12"/>
  <c r="R716" i="12"/>
  <c r="U716" i="12" s="1"/>
  <c r="S716" i="12"/>
  <c r="T716" i="12"/>
  <c r="L717" i="12"/>
  <c r="O717" i="12" s="1"/>
  <c r="M717" i="12"/>
  <c r="P717" i="12" s="1"/>
  <c r="N717" i="12"/>
  <c r="Q717" i="12"/>
  <c r="T717" i="12" s="1"/>
  <c r="R717" i="12"/>
  <c r="S717" i="12"/>
  <c r="U717" i="12"/>
  <c r="O718" i="12"/>
  <c r="P718" i="12"/>
  <c r="T718" i="12"/>
  <c r="U718" i="12"/>
  <c r="O719" i="12"/>
  <c r="P719" i="12"/>
  <c r="T719" i="12"/>
  <c r="U719" i="12"/>
  <c r="L720" i="12"/>
  <c r="M720" i="12"/>
  <c r="N720" i="12"/>
  <c r="O720" i="12"/>
  <c r="P720" i="12"/>
  <c r="Q720" i="12"/>
  <c r="R720" i="12"/>
  <c r="S720" i="12"/>
  <c r="T720" i="12"/>
  <c r="U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J727" i="12"/>
  <c r="L729" i="12"/>
  <c r="M729" i="12"/>
  <c r="M728" i="12" s="1"/>
  <c r="P728" i="12" s="1"/>
  <c r="N729" i="12"/>
  <c r="N728" i="12" s="1"/>
  <c r="Q729" i="12"/>
  <c r="T729" i="12" s="1"/>
  <c r="R729" i="12"/>
  <c r="S729" i="12"/>
  <c r="L730" i="12"/>
  <c r="O730" i="12" s="1"/>
  <c r="M730" i="12"/>
  <c r="P730" i="12" s="1"/>
  <c r="N730" i="12"/>
  <c r="L731" i="12"/>
  <c r="M731" i="12"/>
  <c r="P731" i="12" s="1"/>
  <c r="N731" i="12"/>
  <c r="O731" i="12"/>
  <c r="O732" i="12"/>
  <c r="P732" i="12"/>
  <c r="T732" i="12"/>
  <c r="U732" i="12"/>
  <c r="O733" i="12"/>
  <c r="P733" i="12"/>
  <c r="Q733" i="12"/>
  <c r="Q730" i="12" s="1"/>
  <c r="R733" i="12"/>
  <c r="R731" i="12" s="1"/>
  <c r="S733" i="12"/>
  <c r="S731" i="12" s="1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0" i="12"/>
  <c r="O760" i="12" s="1"/>
  <c r="L761" i="12"/>
  <c r="O761" i="12" s="1"/>
  <c r="M761" i="12"/>
  <c r="N761" i="12"/>
  <c r="N760" i="12" s="1"/>
  <c r="Q761" i="12"/>
  <c r="T761" i="12" s="1"/>
  <c r="R761" i="12"/>
  <c r="U761" i="12" s="1"/>
  <c r="S761" i="12"/>
  <c r="L762" i="12"/>
  <c r="M762" i="12"/>
  <c r="P762" i="12" s="1"/>
  <c r="N762" i="12"/>
  <c r="O762" i="12"/>
  <c r="L763" i="12"/>
  <c r="M763" i="12"/>
  <c r="N763" i="12"/>
  <c r="O763" i="12"/>
  <c r="P763" i="12"/>
  <c r="O764" i="12"/>
  <c r="P764" i="12"/>
  <c r="T764" i="12"/>
  <c r="U764" i="12"/>
  <c r="O765" i="12"/>
  <c r="P765" i="12"/>
  <c r="Q765" i="12"/>
  <c r="Q762" i="12" s="1"/>
  <c r="R765" i="12"/>
  <c r="R762" i="12" s="1"/>
  <c r="S765" i="12"/>
  <c r="S763" i="12" s="1"/>
  <c r="L766" i="12"/>
  <c r="O766" i="12" s="1"/>
  <c r="M766" i="12"/>
  <c r="P766" i="12" s="1"/>
  <c r="N766" i="12"/>
  <c r="Q766" i="12"/>
  <c r="R766" i="12"/>
  <c r="U766" i="12" s="1"/>
  <c r="S766" i="12"/>
  <c r="T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K772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P22" i="11" s="1"/>
  <c r="N22" i="11"/>
  <c r="Q22" i="11"/>
  <c r="T22" i="11" s="1"/>
  <c r="R22" i="11"/>
  <c r="S22" i="11"/>
  <c r="L25" i="11"/>
  <c r="M25" i="11"/>
  <c r="M19" i="11" s="1"/>
  <c r="N25" i="11"/>
  <c r="Q25" i="11"/>
  <c r="T25" i="11" s="1"/>
  <c r="R25" i="11"/>
  <c r="R19" i="11" s="1"/>
  <c r="S25" i="11"/>
  <c r="Q26" i="11"/>
  <c r="T26" i="11" s="1"/>
  <c r="R26" i="11"/>
  <c r="U26" i="11" s="1"/>
  <c r="S26" i="11"/>
  <c r="L45" i="11"/>
  <c r="O45" i="11" s="1"/>
  <c r="M45" i="11"/>
  <c r="N45" i="11"/>
  <c r="Q45" i="11"/>
  <c r="Q44" i="11" s="1"/>
  <c r="T44" i="11" s="1"/>
  <c r="R45" i="11"/>
  <c r="U45" i="11" s="1"/>
  <c r="S45" i="11"/>
  <c r="T45" i="11"/>
  <c r="Q46" i="11"/>
  <c r="R46" i="11"/>
  <c r="U46" i="11" s="1"/>
  <c r="S46" i="11"/>
  <c r="T46" i="11"/>
  <c r="Q47" i="11"/>
  <c r="T47" i="11" s="1"/>
  <c r="R47" i="11"/>
  <c r="S47" i="11"/>
  <c r="U47" i="11"/>
  <c r="O48" i="11"/>
  <c r="P48" i="11"/>
  <c r="T48" i="11"/>
  <c r="U48" i="11"/>
  <c r="L49" i="11"/>
  <c r="L47" i="11" s="1"/>
  <c r="M49" i="11"/>
  <c r="N49" i="11"/>
  <c r="T49" i="11"/>
  <c r="U49" i="11"/>
  <c r="Q50" i="11"/>
  <c r="T50" i="11" s="1"/>
  <c r="R50" i="11"/>
  <c r="S50" i="11"/>
  <c r="U50" i="11"/>
  <c r="O51" i="11"/>
  <c r="P51" i="11"/>
  <c r="T51" i="11"/>
  <c r="U51" i="11"/>
  <c r="L52" i="11"/>
  <c r="M52" i="11"/>
  <c r="M50" i="11" s="1"/>
  <c r="P50" i="11" s="1"/>
  <c r="N52" i="11"/>
  <c r="N50" i="11" s="1"/>
  <c r="T52" i="11"/>
  <c r="U52" i="11"/>
  <c r="L60" i="11"/>
  <c r="O60" i="11" s="1"/>
  <c r="M60" i="11"/>
  <c r="N60" i="11"/>
  <c r="Q60" i="11"/>
  <c r="Q59" i="11" s="1"/>
  <c r="T59" i="11" s="1"/>
  <c r="R60" i="11"/>
  <c r="U60" i="11" s="1"/>
  <c r="S60" i="11"/>
  <c r="T60" i="11"/>
  <c r="Q61" i="11"/>
  <c r="R61" i="11"/>
  <c r="U61" i="11" s="1"/>
  <c r="S61" i="11"/>
  <c r="T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T64" i="11"/>
  <c r="U64" i="11"/>
  <c r="Q65" i="11"/>
  <c r="R65" i="11"/>
  <c r="U65" i="11" s="1"/>
  <c r="S65" i="11"/>
  <c r="T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N73" i="11"/>
  <c r="Q73" i="11"/>
  <c r="T73" i="11" s="1"/>
  <c r="R73" i="11"/>
  <c r="U73" i="11" s="1"/>
  <c r="S73" i="11"/>
  <c r="O76" i="11"/>
  <c r="P76" i="11"/>
  <c r="T76" i="11"/>
  <c r="U76" i="11"/>
  <c r="L77" i="11"/>
  <c r="M77" i="11"/>
  <c r="M75" i="11" s="1"/>
  <c r="P75" i="11" s="1"/>
  <c r="N77" i="11"/>
  <c r="Q77" i="11"/>
  <c r="Q74" i="11" s="1"/>
  <c r="T74" i="11" s="1"/>
  <c r="R77" i="11"/>
  <c r="R75" i="11" s="1"/>
  <c r="U75" i="11" s="1"/>
  <c r="S77" i="11"/>
  <c r="S75" i="11" s="1"/>
  <c r="Q78" i="11"/>
  <c r="T78" i="11" s="1"/>
  <c r="R78" i="11"/>
  <c r="U78" i="11" s="1"/>
  <c r="S78" i="11"/>
  <c r="O79" i="11"/>
  <c r="P79" i="11"/>
  <c r="T79" i="11"/>
  <c r="U79" i="11"/>
  <c r="L80" i="11"/>
  <c r="M80" i="11"/>
  <c r="M78" i="11" s="1"/>
  <c r="P78" i="11" s="1"/>
  <c r="N80" i="11"/>
  <c r="N78" i="11" s="1"/>
  <c r="T80" i="11"/>
  <c r="U80" i="11"/>
  <c r="J82" i="11"/>
  <c r="J70" i="11" s="1"/>
  <c r="J83" i="11"/>
  <c r="J71" i="11" s="1"/>
  <c r="I84" i="1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N95" i="11"/>
  <c r="O95" i="11"/>
  <c r="Q95" i="11"/>
  <c r="R95" i="11"/>
  <c r="U95" i="11" s="1"/>
  <c r="S95" i="11"/>
  <c r="T95" i="11"/>
  <c r="O98" i="11"/>
  <c r="P98" i="11"/>
  <c r="T98" i="11"/>
  <c r="U98" i="11"/>
  <c r="L99" i="11"/>
  <c r="M99" i="11"/>
  <c r="N99" i="11"/>
  <c r="N97" i="11" s="1"/>
  <c r="Q99" i="11"/>
  <c r="R99" i="11"/>
  <c r="R96" i="11" s="1"/>
  <c r="S99" i="11"/>
  <c r="S96" i="11" s="1"/>
  <c r="Q100" i="11"/>
  <c r="T100" i="11" s="1"/>
  <c r="R100" i="11"/>
  <c r="U100" i="11" s="1"/>
  <c r="S100" i="11"/>
  <c r="O101" i="11"/>
  <c r="P101" i="11"/>
  <c r="T101" i="11"/>
  <c r="U101" i="11"/>
  <c r="L102" i="11"/>
  <c r="L100" i="11" s="1"/>
  <c r="O100" i="11" s="1"/>
  <c r="M102" i="11"/>
  <c r="P102" i="11" s="1"/>
  <c r="N102" i="11"/>
  <c r="N100" i="11" s="1"/>
  <c r="T102" i="11"/>
  <c r="U102" i="11"/>
  <c r="I108" i="11"/>
  <c r="I92" i="11" s="1"/>
  <c r="K92" i="11" s="1"/>
  <c r="I109" i="11"/>
  <c r="I114" i="11"/>
  <c r="K114" i="11" s="1"/>
  <c r="J116" i="11"/>
  <c r="L118" i="11"/>
  <c r="M118" i="11"/>
  <c r="P118" i="11" s="1"/>
  <c r="N118" i="11"/>
  <c r="Q118" i="11"/>
  <c r="T118" i="11" s="1"/>
  <c r="R118" i="11"/>
  <c r="S118" i="11"/>
  <c r="U118" i="11"/>
  <c r="O121" i="11"/>
  <c r="P121" i="11"/>
  <c r="T121" i="11"/>
  <c r="U121" i="11"/>
  <c r="L122" i="11"/>
  <c r="L120" i="11" s="1"/>
  <c r="O120" i="11" s="1"/>
  <c r="M122" i="11"/>
  <c r="N122" i="11"/>
  <c r="N120" i="11" s="1"/>
  <c r="Q122" i="11"/>
  <c r="Q119" i="11" s="1"/>
  <c r="R122" i="11"/>
  <c r="R119" i="11" s="1"/>
  <c r="S122" i="11"/>
  <c r="S120" i="11" s="1"/>
  <c r="Q123" i="11"/>
  <c r="T123" i="11" s="1"/>
  <c r="R123" i="11"/>
  <c r="U123" i="11" s="1"/>
  <c r="S123" i="11"/>
  <c r="O124" i="11"/>
  <c r="P124" i="11"/>
  <c r="T124" i="11"/>
  <c r="U124" i="11"/>
  <c r="L125" i="11"/>
  <c r="L123" i="11" s="1"/>
  <c r="O123" i="11" s="1"/>
  <c r="M125" i="11"/>
  <c r="M123" i="11" s="1"/>
  <c r="P123" i="11" s="1"/>
  <c r="N125" i="11"/>
  <c r="N123" i="11" s="1"/>
  <c r="T125" i="11"/>
  <c r="U125" i="1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N140" i="11"/>
  <c r="Q140" i="11"/>
  <c r="R140" i="11"/>
  <c r="S140" i="11"/>
  <c r="O143" i="11"/>
  <c r="P143" i="11"/>
  <c r="T143" i="11"/>
  <c r="U143" i="11"/>
  <c r="L144" i="11"/>
  <c r="M144" i="11"/>
  <c r="N144" i="11"/>
  <c r="Q144" i="11"/>
  <c r="Q141" i="11" s="1"/>
  <c r="T141" i="11" s="1"/>
  <c r="R144" i="11"/>
  <c r="R142" i="11" s="1"/>
  <c r="U142" i="11" s="1"/>
  <c r="S144" i="11"/>
  <c r="Q145" i="11"/>
  <c r="T145" i="11" s="1"/>
  <c r="R145" i="11"/>
  <c r="U145" i="11" s="1"/>
  <c r="S145" i="11"/>
  <c r="O146" i="11"/>
  <c r="P146" i="11"/>
  <c r="T146" i="11"/>
  <c r="U146" i="11"/>
  <c r="L147" i="11"/>
  <c r="L145" i="11" s="1"/>
  <c r="O145" i="11" s="1"/>
  <c r="M147" i="11"/>
  <c r="N147" i="11"/>
  <c r="N145" i="11" s="1"/>
  <c r="T147" i="11"/>
  <c r="U147" i="11"/>
  <c r="I150" i="11"/>
  <c r="K150" i="11" s="1"/>
  <c r="I151" i="11"/>
  <c r="K151" i="11" s="1"/>
  <c r="I152" i="11"/>
  <c r="I153" i="11"/>
  <c r="I138" i="11" s="1"/>
  <c r="K138" i="11" s="1"/>
  <c r="I154" i="11"/>
  <c r="K154" i="11" s="1"/>
  <c r="J156" i="11"/>
  <c r="L158" i="11"/>
  <c r="M158" i="11"/>
  <c r="P158" i="11" s="1"/>
  <c r="N158" i="11"/>
  <c r="Q158" i="11"/>
  <c r="T158" i="11" s="1"/>
  <c r="R158" i="11"/>
  <c r="S158" i="11"/>
  <c r="O161" i="11"/>
  <c r="P161" i="11"/>
  <c r="T161" i="11"/>
  <c r="U161" i="11"/>
  <c r="L162" i="11"/>
  <c r="M162" i="11"/>
  <c r="M160" i="11" s="1"/>
  <c r="P160" i="11" s="1"/>
  <c r="N162" i="11"/>
  <c r="N160" i="11" s="1"/>
  <c r="Q162" i="11"/>
  <c r="R162" i="11"/>
  <c r="R159" i="11" s="1"/>
  <c r="U159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L163" i="11" s="1"/>
  <c r="O163" i="11" s="1"/>
  <c r="M165" i="11"/>
  <c r="M163" i="11" s="1"/>
  <c r="P163" i="11" s="1"/>
  <c r="N165" i="11"/>
  <c r="N163" i="11" s="1"/>
  <c r="T165" i="11"/>
  <c r="U165" i="11"/>
  <c r="I167" i="11"/>
  <c r="K167" i="11" s="1"/>
  <c r="I168" i="11"/>
  <c r="K168" i="11" s="1"/>
  <c r="I169" i="11"/>
  <c r="J172" i="11"/>
  <c r="L174" i="11"/>
  <c r="M174" i="11"/>
  <c r="N174" i="11"/>
  <c r="Q174" i="11"/>
  <c r="R174" i="11"/>
  <c r="U174" i="11" s="1"/>
  <c r="S174" i="11"/>
  <c r="T174" i="11"/>
  <c r="O177" i="11"/>
  <c r="P177" i="11"/>
  <c r="T177" i="11"/>
  <c r="U177" i="11"/>
  <c r="L178" i="11"/>
  <c r="M178" i="11"/>
  <c r="M176" i="11" s="1"/>
  <c r="N178" i="11"/>
  <c r="N176" i="11" s="1"/>
  <c r="Q178" i="11"/>
  <c r="R178" i="11"/>
  <c r="R176" i="11" s="1"/>
  <c r="U176" i="11" s="1"/>
  <c r="S178" i="11"/>
  <c r="Q179" i="11"/>
  <c r="R179" i="11"/>
  <c r="U179" i="11" s="1"/>
  <c r="S179" i="11"/>
  <c r="T179" i="11"/>
  <c r="O180" i="11"/>
  <c r="P180" i="11"/>
  <c r="T180" i="11"/>
  <c r="U180" i="11"/>
  <c r="L181" i="11"/>
  <c r="M181" i="11"/>
  <c r="P181" i="11" s="1"/>
  <c r="N181" i="11"/>
  <c r="N179" i="11" s="1"/>
  <c r="T181" i="11"/>
  <c r="U181" i="11"/>
  <c r="I183" i="11"/>
  <c r="I172" i="11" s="1"/>
  <c r="K172" i="11" s="1"/>
  <c r="K184" i="11"/>
  <c r="L187" i="11"/>
  <c r="M187" i="11"/>
  <c r="N187" i="11"/>
  <c r="Q187" i="11"/>
  <c r="T187" i="11" s="1"/>
  <c r="R187" i="11"/>
  <c r="S187" i="11"/>
  <c r="O190" i="11"/>
  <c r="P190" i="11"/>
  <c r="T190" i="11"/>
  <c r="U190" i="11"/>
  <c r="L191" i="11"/>
  <c r="L189" i="11" s="1"/>
  <c r="M191" i="11"/>
  <c r="M189" i="11" s="1"/>
  <c r="N191" i="11"/>
  <c r="Q191" i="11"/>
  <c r="Q188" i="11" s="1"/>
  <c r="R191" i="11"/>
  <c r="S191" i="11"/>
  <c r="S188" i="11" s="1"/>
  <c r="Q192" i="11"/>
  <c r="T192" i="11" s="1"/>
  <c r="R192" i="11"/>
  <c r="U192" i="11" s="1"/>
  <c r="S192" i="11"/>
  <c r="O193" i="11"/>
  <c r="P193" i="11"/>
  <c r="T193" i="11"/>
  <c r="U193" i="11"/>
  <c r="L194" i="11"/>
  <c r="L192" i="11" s="1"/>
  <c r="O192" i="11" s="1"/>
  <c r="M194" i="11"/>
  <c r="M192" i="11" s="1"/>
  <c r="P192" i="11" s="1"/>
  <c r="N194" i="11"/>
  <c r="N192" i="11" s="1"/>
  <c r="T194" i="11"/>
  <c r="U194" i="11"/>
  <c r="J195" i="11"/>
  <c r="L196" i="11"/>
  <c r="O196" i="11" s="1"/>
  <c r="P196" i="11"/>
  <c r="I198" i="1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I213" i="11" s="1"/>
  <c r="K213" i="11" s="1"/>
  <c r="J221" i="11"/>
  <c r="N222" i="11"/>
  <c r="P222" i="11"/>
  <c r="L223" i="11"/>
  <c r="L224" i="11"/>
  <c r="L225" i="11"/>
  <c r="I228" i="11"/>
  <c r="K228" i="11" s="1"/>
  <c r="I229" i="11"/>
  <c r="I221" i="11" s="1"/>
  <c r="K221" i="11" s="1"/>
  <c r="I230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J231" i="11" s="1"/>
  <c r="J185" i="11" s="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P267" i="11" s="1"/>
  <c r="N267" i="11"/>
  <c r="O267" i="11"/>
  <c r="Q267" i="11"/>
  <c r="R267" i="11"/>
  <c r="U267" i="11" s="1"/>
  <c r="S267" i="11"/>
  <c r="O270" i="11"/>
  <c r="P270" i="11"/>
  <c r="T270" i="11"/>
  <c r="U270" i="11"/>
  <c r="L271" i="11"/>
  <c r="L269" i="11" s="1"/>
  <c r="O269" i="11" s="1"/>
  <c r="M271" i="11"/>
  <c r="N271" i="11"/>
  <c r="N269" i="11" s="1"/>
  <c r="Q271" i="11"/>
  <c r="R271" i="11"/>
  <c r="R269" i="11" s="1"/>
  <c r="S271" i="11"/>
  <c r="S269" i="11" s="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N274" i="11"/>
  <c r="N272" i="11" s="1"/>
  <c r="T274" i="11"/>
  <c r="U274" i="11"/>
  <c r="I276" i="11"/>
  <c r="K276" i="11" s="1"/>
  <c r="J281" i="11"/>
  <c r="L283" i="11"/>
  <c r="M283" i="11"/>
  <c r="P283" i="11" s="1"/>
  <c r="N283" i="11"/>
  <c r="O283" i="11"/>
  <c r="Q283" i="11"/>
  <c r="R283" i="11"/>
  <c r="S283" i="11"/>
  <c r="T283" i="11"/>
  <c r="U283" i="11"/>
  <c r="Q284" i="11"/>
  <c r="T284" i="11" s="1"/>
  <c r="R284" i="11"/>
  <c r="U284" i="11" s="1"/>
  <c r="S284" i="11"/>
  <c r="Q285" i="11"/>
  <c r="T285" i="11" s="1"/>
  <c r="R285" i="11"/>
  <c r="S285" i="11"/>
  <c r="U285" i="11"/>
  <c r="O286" i="11"/>
  <c r="P286" i="11"/>
  <c r="T286" i="11"/>
  <c r="U286" i="11"/>
  <c r="L287" i="11"/>
  <c r="M287" i="11"/>
  <c r="N287" i="11"/>
  <c r="N285" i="11" s="1"/>
  <c r="T287" i="11"/>
  <c r="U287" i="11"/>
  <c r="Q288" i="11"/>
  <c r="T288" i="11" s="1"/>
  <c r="R288" i="11"/>
  <c r="U288" i="11" s="1"/>
  <c r="S288" i="11"/>
  <c r="O289" i="11"/>
  <c r="P289" i="11"/>
  <c r="T289" i="11"/>
  <c r="U289" i="11"/>
  <c r="L290" i="11"/>
  <c r="L288" i="11" s="1"/>
  <c r="O288" i="11" s="1"/>
  <c r="M290" i="11"/>
  <c r="P290" i="11" s="1"/>
  <c r="N290" i="11"/>
  <c r="N288" i="11" s="1"/>
  <c r="T290" i="11"/>
  <c r="U290" i="11"/>
  <c r="I292" i="11"/>
  <c r="I281" i="11" s="1"/>
  <c r="K281" i="11" s="1"/>
  <c r="I293" i="11"/>
  <c r="K293" i="11" s="1"/>
  <c r="J293" i="11"/>
  <c r="J280" i="11" s="1"/>
  <c r="I295" i="11"/>
  <c r="K295" i="11" s="1"/>
  <c r="I296" i="11"/>
  <c r="K296" i="11" s="1"/>
  <c r="J302" i="11"/>
  <c r="L304" i="11"/>
  <c r="M304" i="11"/>
  <c r="N304" i="11"/>
  <c r="P304" i="11"/>
  <c r="Q304" i="11"/>
  <c r="T304" i="11" s="1"/>
  <c r="R304" i="11"/>
  <c r="S304" i="11"/>
  <c r="O307" i="11"/>
  <c r="P307" i="11"/>
  <c r="T307" i="11"/>
  <c r="U307" i="11"/>
  <c r="L308" i="11"/>
  <c r="O308" i="11" s="1"/>
  <c r="M308" i="11"/>
  <c r="M306" i="11" s="1"/>
  <c r="P306" i="11" s="1"/>
  <c r="N308" i="11"/>
  <c r="Q308" i="11"/>
  <c r="Q306" i="11" s="1"/>
  <c r="R308" i="11"/>
  <c r="S308" i="11"/>
  <c r="S306" i="11" s="1"/>
  <c r="Q309" i="11"/>
  <c r="R309" i="11"/>
  <c r="U309" i="11" s="1"/>
  <c r="S309" i="11"/>
  <c r="T309" i="11"/>
  <c r="O310" i="11"/>
  <c r="P310" i="11"/>
  <c r="T310" i="11"/>
  <c r="U310" i="11"/>
  <c r="L311" i="11"/>
  <c r="M311" i="11"/>
  <c r="P311" i="11" s="1"/>
  <c r="N311" i="11"/>
  <c r="N309" i="11" s="1"/>
  <c r="T311" i="11"/>
  <c r="U311" i="11"/>
  <c r="I314" i="11"/>
  <c r="J319" i="11"/>
  <c r="L321" i="11"/>
  <c r="M321" i="11"/>
  <c r="P321" i="11" s="1"/>
  <c r="N321" i="11"/>
  <c r="Q321" i="11"/>
  <c r="R321" i="11"/>
  <c r="S321" i="11"/>
  <c r="Q322" i="11"/>
  <c r="T322" i="11" s="1"/>
  <c r="R322" i="11"/>
  <c r="U322" i="11" s="1"/>
  <c r="S322" i="11"/>
  <c r="S320" i="11" s="1"/>
  <c r="Q323" i="11"/>
  <c r="R323" i="11"/>
  <c r="U323" i="11" s="1"/>
  <c r="S323" i="11"/>
  <c r="T323" i="11"/>
  <c r="O324" i="11"/>
  <c r="P324" i="11"/>
  <c r="T324" i="11"/>
  <c r="U324" i="11"/>
  <c r="L325" i="11"/>
  <c r="O325" i="11" s="1"/>
  <c r="M325" i="11"/>
  <c r="N325" i="1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L326" i="11" s="1"/>
  <c r="O326" i="11" s="1"/>
  <c r="M328" i="11"/>
  <c r="N328" i="11"/>
  <c r="N326" i="11" s="1"/>
  <c r="T328" i="11"/>
  <c r="U328" i="11"/>
  <c r="I330" i="11"/>
  <c r="I319" i="11" s="1"/>
  <c r="K319" i="11" s="1"/>
  <c r="L334" i="11"/>
  <c r="M334" i="11"/>
  <c r="N334" i="11"/>
  <c r="O334" i="11"/>
  <c r="Q334" i="11"/>
  <c r="T334" i="11" s="1"/>
  <c r="R334" i="11"/>
  <c r="S334" i="11"/>
  <c r="U334" i="11"/>
  <c r="Q335" i="11"/>
  <c r="T335" i="11" s="1"/>
  <c r="R335" i="11"/>
  <c r="U335" i="11" s="1"/>
  <c r="S335" i="11"/>
  <c r="Q336" i="11"/>
  <c r="R336" i="11"/>
  <c r="U336" i="11" s="1"/>
  <c r="S336" i="11"/>
  <c r="T336" i="11"/>
  <c r="O337" i="11"/>
  <c r="P337" i="11"/>
  <c r="T337" i="11"/>
  <c r="U337" i="11"/>
  <c r="L338" i="11"/>
  <c r="M338" i="1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O341" i="11" s="1"/>
  <c r="M341" i="11"/>
  <c r="M339" i="11" s="1"/>
  <c r="P339" i="11" s="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D354" i="11"/>
  <c r="L357" i="11"/>
  <c r="M357" i="11"/>
  <c r="P357" i="11" s="1"/>
  <c r="N357" i="11"/>
  <c r="O357" i="11"/>
  <c r="Q357" i="11"/>
  <c r="T357" i="11" s="1"/>
  <c r="R357" i="11"/>
  <c r="R356" i="11" s="1"/>
  <c r="U356" i="11" s="1"/>
  <c r="S357" i="11"/>
  <c r="S356" i="11" s="1"/>
  <c r="U357" i="11"/>
  <c r="Q358" i="11"/>
  <c r="T358" i="11" s="1"/>
  <c r="R358" i="11"/>
  <c r="U358" i="11" s="1"/>
  <c r="S358" i="11"/>
  <c r="Q359" i="11"/>
  <c r="R359" i="11"/>
  <c r="U359" i="11" s="1"/>
  <c r="S359" i="11"/>
  <c r="T359" i="11"/>
  <c r="O360" i="11"/>
  <c r="P360" i="11"/>
  <c r="T360" i="11"/>
  <c r="U360" i="11"/>
  <c r="L361" i="11"/>
  <c r="L359" i="11" s="1"/>
  <c r="M361" i="11"/>
  <c r="M359" i="11" s="1"/>
  <c r="N361" i="11"/>
  <c r="N359" i="11" s="1"/>
  <c r="T361" i="11"/>
  <c r="U361" i="11"/>
  <c r="Q362" i="11"/>
  <c r="T362" i="11" s="1"/>
  <c r="R362" i="11"/>
  <c r="S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I365" i="11" s="1"/>
  <c r="J371" i="11"/>
  <c r="J365" i="11" s="1"/>
  <c r="J372" i="11"/>
  <c r="K372" i="11"/>
  <c r="D373" i="11"/>
  <c r="L376" i="11"/>
  <c r="M376" i="11"/>
  <c r="M375" i="11" s="1"/>
  <c r="P375" i="11" s="1"/>
  <c r="N376" i="11"/>
  <c r="Q376" i="11"/>
  <c r="T376" i="11" s="1"/>
  <c r="R376" i="11"/>
  <c r="S376" i="11"/>
  <c r="L377" i="11"/>
  <c r="O377" i="11" s="1"/>
  <c r="M377" i="11"/>
  <c r="N377" i="11"/>
  <c r="P377" i="11"/>
  <c r="L378" i="11"/>
  <c r="O378" i="11" s="1"/>
  <c r="M378" i="11"/>
  <c r="P378" i="11" s="1"/>
  <c r="N378" i="11"/>
  <c r="O379" i="11"/>
  <c r="P379" i="11"/>
  <c r="T379" i="11"/>
  <c r="U379" i="11"/>
  <c r="O380" i="11"/>
  <c r="P380" i="11"/>
  <c r="Q380" i="11"/>
  <c r="Q378" i="11" s="1"/>
  <c r="R380" i="11"/>
  <c r="S380" i="11"/>
  <c r="S377" i="11" s="1"/>
  <c r="S375" i="11" s="1"/>
  <c r="L381" i="11"/>
  <c r="O381" i="11" s="1"/>
  <c r="M381" i="11"/>
  <c r="N381" i="11"/>
  <c r="P381" i="11"/>
  <c r="Q381" i="11"/>
  <c r="T381" i="11" s="1"/>
  <c r="R381" i="11"/>
  <c r="U381" i="11" s="1"/>
  <c r="S381" i="11"/>
  <c r="O382" i="11"/>
  <c r="P382" i="11"/>
  <c r="T382" i="11"/>
  <c r="U382" i="11"/>
  <c r="O383" i="11"/>
  <c r="P383" i="1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O393" i="11" s="1"/>
  <c r="M393" i="11"/>
  <c r="P393" i="11" s="1"/>
  <c r="N393" i="11"/>
  <c r="N392" i="11" s="1"/>
  <c r="Q393" i="11"/>
  <c r="T393" i="11" s="1"/>
  <c r="R393" i="11"/>
  <c r="U393" i="11" s="1"/>
  <c r="S393" i="11"/>
  <c r="L394" i="11"/>
  <c r="M394" i="11"/>
  <c r="P394" i="11" s="1"/>
  <c r="N394" i="11"/>
  <c r="Q394" i="11"/>
  <c r="R394" i="11"/>
  <c r="U394" i="11" s="1"/>
  <c r="S394" i="11"/>
  <c r="T394" i="11"/>
  <c r="L395" i="11"/>
  <c r="O395" i="11" s="1"/>
  <c r="M395" i="11"/>
  <c r="N395" i="11"/>
  <c r="P395" i="11"/>
  <c r="Q395" i="11"/>
  <c r="T395" i="11" s="1"/>
  <c r="R395" i="11"/>
  <c r="U395" i="11" s="1"/>
  <c r="S395" i="11"/>
  <c r="O396" i="11"/>
  <c r="P396" i="11"/>
  <c r="T396" i="11"/>
  <c r="U396" i="11"/>
  <c r="O397" i="11"/>
  <c r="P397" i="11"/>
  <c r="T397" i="11"/>
  <c r="U397" i="11"/>
  <c r="L398" i="11"/>
  <c r="O398" i="11" s="1"/>
  <c r="M398" i="11"/>
  <c r="N398" i="11"/>
  <c r="P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N414" i="11"/>
  <c r="N413" i="11" s="1"/>
  <c r="O414" i="11"/>
  <c r="P414" i="11"/>
  <c r="Q414" i="11"/>
  <c r="R414" i="11"/>
  <c r="U414" i="11" s="1"/>
  <c r="S414" i="11"/>
  <c r="L415" i="11"/>
  <c r="O415" i="11" s="1"/>
  <c r="M415" i="11"/>
  <c r="P415" i="11" s="1"/>
  <c r="N415" i="11"/>
  <c r="L416" i="11"/>
  <c r="M416" i="11"/>
  <c r="P416" i="11" s="1"/>
  <c r="N416" i="11"/>
  <c r="O416" i="11"/>
  <c r="O417" i="11"/>
  <c r="P417" i="11"/>
  <c r="T417" i="11"/>
  <c r="U417" i="11"/>
  <c r="O418" i="11"/>
  <c r="P418" i="11"/>
  <c r="Q418" i="11"/>
  <c r="Q415" i="11" s="1"/>
  <c r="T415" i="11" s="1"/>
  <c r="R418" i="11"/>
  <c r="S418" i="11"/>
  <c r="S415" i="11" s="1"/>
  <c r="S413" i="11" s="1"/>
  <c r="L419" i="11"/>
  <c r="O419" i="11" s="1"/>
  <c r="M419" i="11"/>
  <c r="N419" i="11"/>
  <c r="P419" i="11"/>
  <c r="Q419" i="11"/>
  <c r="T419" i="11" s="1"/>
  <c r="R419" i="11"/>
  <c r="U419" i="11" s="1"/>
  <c r="S419" i="11"/>
  <c r="O420" i="11"/>
  <c r="P420" i="11"/>
  <c r="T420" i="11"/>
  <c r="U420" i="11"/>
  <c r="O421" i="11"/>
  <c r="P421" i="1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K440" i="11" s="1"/>
  <c r="I441" i="11"/>
  <c r="K441" i="11" s="1"/>
  <c r="J446" i="11"/>
  <c r="J440" i="11" s="1"/>
  <c r="J423" i="11" s="1"/>
  <c r="J412" i="11" s="1"/>
  <c r="J447" i="11"/>
  <c r="J441" i="11" s="1"/>
  <c r="I457" i="11"/>
  <c r="K457" i="11" s="1"/>
  <c r="I458" i="11"/>
  <c r="K458" i="11" s="1"/>
  <c r="J459" i="11"/>
  <c r="J457" i="11" s="1"/>
  <c r="J456" i="11" s="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J484" i="11"/>
  <c r="K484" i="11"/>
  <c r="I485" i="11"/>
  <c r="K485" i="11" s="1"/>
  <c r="J485" i="11"/>
  <c r="L494" i="11"/>
  <c r="M494" i="11"/>
  <c r="P494" i="11" s="1"/>
  <c r="N494" i="11"/>
  <c r="Q494" i="11"/>
  <c r="R494" i="11"/>
  <c r="S494" i="11"/>
  <c r="L495" i="11"/>
  <c r="O495" i="11" s="1"/>
  <c r="M495" i="11"/>
  <c r="P495" i="11" s="1"/>
  <c r="N495" i="11"/>
  <c r="L496" i="11"/>
  <c r="M496" i="11"/>
  <c r="P496" i="11" s="1"/>
  <c r="N496" i="11"/>
  <c r="O496" i="11"/>
  <c r="O497" i="11"/>
  <c r="P497" i="11"/>
  <c r="T497" i="11"/>
  <c r="U497" i="11"/>
  <c r="O498" i="11"/>
  <c r="P498" i="11"/>
  <c r="Q498" i="11"/>
  <c r="R498" i="11"/>
  <c r="R495" i="11" s="1"/>
  <c r="U495" i="11" s="1"/>
  <c r="S498" i="11"/>
  <c r="S496" i="11" s="1"/>
  <c r="L499" i="11"/>
  <c r="O499" i="11" s="1"/>
  <c r="M499" i="11"/>
  <c r="P499" i="11" s="1"/>
  <c r="N499" i="11"/>
  <c r="Q499" i="11"/>
  <c r="T499" i="11" s="1"/>
  <c r="R499" i="11"/>
  <c r="U499" i="11" s="1"/>
  <c r="S499" i="11"/>
  <c r="O500" i="11"/>
  <c r="P500" i="11"/>
  <c r="T500" i="11"/>
  <c r="U500" i="11"/>
  <c r="O501" i="11"/>
  <c r="P501" i="11"/>
  <c r="T501" i="11"/>
  <c r="U501" i="11"/>
  <c r="I503" i="1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N514" i="11"/>
  <c r="P514" i="11"/>
  <c r="Q514" i="11"/>
  <c r="R514" i="11"/>
  <c r="S514" i="11"/>
  <c r="S513" i="11" s="1"/>
  <c r="Q515" i="11"/>
  <c r="T515" i="11" s="1"/>
  <c r="R515" i="11"/>
  <c r="U515" i="11" s="1"/>
  <c r="S515" i="11"/>
  <c r="Q516" i="11"/>
  <c r="R516" i="11"/>
  <c r="S516" i="11"/>
  <c r="T516" i="11"/>
  <c r="U516" i="11"/>
  <c r="O517" i="11"/>
  <c r="P517" i="11"/>
  <c r="T517" i="11"/>
  <c r="U517" i="11"/>
  <c r="L518" i="11"/>
  <c r="M518" i="1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N535" i="11"/>
  <c r="N534" i="11" s="1"/>
  <c r="P535" i="11"/>
  <c r="Q535" i="11"/>
  <c r="R535" i="11"/>
  <c r="S535" i="11"/>
  <c r="L536" i="11"/>
  <c r="O536" i="11" s="1"/>
  <c r="M536" i="11"/>
  <c r="P536" i="11" s="1"/>
  <c r="N536" i="11"/>
  <c r="Q536" i="11"/>
  <c r="T536" i="11" s="1"/>
  <c r="R536" i="11"/>
  <c r="U536" i="11" s="1"/>
  <c r="S536" i="11"/>
  <c r="L537" i="11"/>
  <c r="M537" i="11"/>
  <c r="P537" i="11" s="1"/>
  <c r="N537" i="11"/>
  <c r="O537" i="11"/>
  <c r="Q537" i="11"/>
  <c r="R537" i="11"/>
  <c r="S537" i="11"/>
  <c r="T537" i="11"/>
  <c r="U537" i="11"/>
  <c r="O538" i="11"/>
  <c r="P538" i="11"/>
  <c r="T538" i="11"/>
  <c r="U538" i="11"/>
  <c r="O539" i="11"/>
  <c r="P539" i="11"/>
  <c r="T539" i="11"/>
  <c r="U539" i="11"/>
  <c r="L540" i="11"/>
  <c r="M540" i="11"/>
  <c r="N540" i="11"/>
  <c r="O540" i="11"/>
  <c r="P540" i="11"/>
  <c r="Q540" i="11"/>
  <c r="R540" i="11"/>
  <c r="S540" i="11"/>
  <c r="T540" i="11"/>
  <c r="U540" i="11"/>
  <c r="O541" i="11"/>
  <c r="P541" i="11"/>
  <c r="T541" i="11"/>
  <c r="U541" i="11"/>
  <c r="O542" i="11"/>
  <c r="P542" i="11"/>
  <c r="T542" i="11"/>
  <c r="U542" i="11"/>
  <c r="I554" i="11"/>
  <c r="J554" i="11"/>
  <c r="K554" i="11"/>
  <c r="L556" i="11"/>
  <c r="L555" i="11" s="1"/>
  <c r="O555" i="11" s="1"/>
  <c r="M556" i="11"/>
  <c r="N556" i="11"/>
  <c r="N555" i="11" s="1"/>
  <c r="Q556" i="11"/>
  <c r="R556" i="11"/>
  <c r="R555" i="11" s="1"/>
  <c r="U555" i="11" s="1"/>
  <c r="S556" i="11"/>
  <c r="T556" i="11"/>
  <c r="U556" i="11"/>
  <c r="L557" i="11"/>
  <c r="M557" i="11"/>
  <c r="N557" i="11"/>
  <c r="O557" i="11"/>
  <c r="P557" i="11"/>
  <c r="Q557" i="11"/>
  <c r="T557" i="11" s="1"/>
  <c r="R557" i="11"/>
  <c r="U557" i="11" s="1"/>
  <c r="S557" i="11"/>
  <c r="L558" i="11"/>
  <c r="O558" i="11" s="1"/>
  <c r="M558" i="11"/>
  <c r="P558" i="11" s="1"/>
  <c r="N558" i="11"/>
  <c r="Q558" i="11"/>
  <c r="T558" i="11" s="1"/>
  <c r="R558" i="11"/>
  <c r="U558" i="11" s="1"/>
  <c r="S558" i="11"/>
  <c r="O559" i="11"/>
  <c r="P559" i="11"/>
  <c r="T559" i="11"/>
  <c r="U559" i="11"/>
  <c r="O560" i="11"/>
  <c r="P560" i="11"/>
  <c r="T560" i="11"/>
  <c r="U560" i="11"/>
  <c r="L561" i="11"/>
  <c r="O561" i="11" s="1"/>
  <c r="M561" i="11"/>
  <c r="P561" i="11" s="1"/>
  <c r="N561" i="11"/>
  <c r="Q561" i="11"/>
  <c r="T561" i="11" s="1"/>
  <c r="R561" i="11"/>
  <c r="U561" i="11" s="1"/>
  <c r="S561" i="11"/>
  <c r="O562" i="11"/>
  <c r="P562" i="11"/>
  <c r="T562" i="11"/>
  <c r="U562" i="11"/>
  <c r="O563" i="11"/>
  <c r="P563" i="11"/>
  <c r="T563" i="11"/>
  <c r="U563" i="11"/>
  <c r="I575" i="11"/>
  <c r="K575" i="11" s="1"/>
  <c r="J575" i="11"/>
  <c r="L577" i="11"/>
  <c r="M577" i="11"/>
  <c r="N577" i="11"/>
  <c r="N576" i="11" s="1"/>
  <c r="Q577" i="11"/>
  <c r="R577" i="11"/>
  <c r="S577" i="11"/>
  <c r="L578" i="11"/>
  <c r="O578" i="11" s="1"/>
  <c r="M578" i="11"/>
  <c r="P578" i="11" s="1"/>
  <c r="N578" i="11"/>
  <c r="Q578" i="11"/>
  <c r="R578" i="11"/>
  <c r="U578" i="11" s="1"/>
  <c r="S578" i="11"/>
  <c r="T578" i="11"/>
  <c r="L579" i="11"/>
  <c r="M579" i="11"/>
  <c r="N579" i="11"/>
  <c r="O579" i="11"/>
  <c r="P579" i="11"/>
  <c r="Q579" i="11"/>
  <c r="T579" i="11" s="1"/>
  <c r="R579" i="11"/>
  <c r="S579" i="11"/>
  <c r="U579" i="11"/>
  <c r="O580" i="11"/>
  <c r="P580" i="11"/>
  <c r="T580" i="11"/>
  <c r="U580" i="11"/>
  <c r="O581" i="11"/>
  <c r="P581" i="11"/>
  <c r="T581" i="11"/>
  <c r="U581" i="11"/>
  <c r="L582" i="11"/>
  <c r="M582" i="11"/>
  <c r="N582" i="11"/>
  <c r="O582" i="11"/>
  <c r="P582" i="11"/>
  <c r="Q582" i="11"/>
  <c r="T582" i="11" s="1"/>
  <c r="R582" i="11"/>
  <c r="S582" i="11"/>
  <c r="U582" i="11"/>
  <c r="O583" i="11"/>
  <c r="P583" i="11"/>
  <c r="T583" i="11"/>
  <c r="U583" i="11"/>
  <c r="O584" i="11"/>
  <c r="P584" i="11"/>
  <c r="T584" i="11"/>
  <c r="U584" i="11"/>
  <c r="L600" i="11"/>
  <c r="M600" i="11"/>
  <c r="P600" i="11" s="1"/>
  <c r="N600" i="11"/>
  <c r="N599" i="11" s="1"/>
  <c r="Q600" i="11"/>
  <c r="R600" i="11"/>
  <c r="S600" i="11"/>
  <c r="L601" i="11"/>
  <c r="O601" i="11" s="1"/>
  <c r="M601" i="11"/>
  <c r="P601" i="11" s="1"/>
  <c r="N601" i="11"/>
  <c r="Q601" i="11"/>
  <c r="T601" i="11" s="1"/>
  <c r="R601" i="11"/>
  <c r="U601" i="11" s="1"/>
  <c r="S601" i="11"/>
  <c r="L602" i="11"/>
  <c r="O602" i="11" s="1"/>
  <c r="M602" i="11"/>
  <c r="N602" i="11"/>
  <c r="P602" i="11"/>
  <c r="Q602" i="11"/>
  <c r="R602" i="11"/>
  <c r="S602" i="11"/>
  <c r="T602" i="11"/>
  <c r="U602" i="11"/>
  <c r="O603" i="11"/>
  <c r="P603" i="11"/>
  <c r="T603" i="11"/>
  <c r="U603" i="11"/>
  <c r="O604" i="11"/>
  <c r="P604" i="11"/>
  <c r="T604" i="11"/>
  <c r="U604" i="11"/>
  <c r="L605" i="11"/>
  <c r="O605" i="11" s="1"/>
  <c r="M605" i="11"/>
  <c r="N605" i="11"/>
  <c r="P605" i="11"/>
  <c r="Q605" i="11"/>
  <c r="R605" i="11"/>
  <c r="S605" i="11"/>
  <c r="T605" i="11"/>
  <c r="U605" i="11"/>
  <c r="O606" i="11"/>
  <c r="P606" i="11"/>
  <c r="T606" i="11"/>
  <c r="U606" i="11"/>
  <c r="O607" i="11"/>
  <c r="P607" i="11"/>
  <c r="T607" i="11"/>
  <c r="U607" i="11"/>
  <c r="L617" i="11"/>
  <c r="M617" i="11"/>
  <c r="N617" i="11"/>
  <c r="N616" i="11" s="1"/>
  <c r="Q617" i="11"/>
  <c r="R617" i="11"/>
  <c r="S617" i="11"/>
  <c r="T617" i="11"/>
  <c r="U617" i="11"/>
  <c r="L618" i="11"/>
  <c r="M618" i="11"/>
  <c r="N618" i="11"/>
  <c r="O618" i="11"/>
  <c r="P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8" i="11" s="1"/>
  <c r="R621" i="11"/>
  <c r="S621" i="11"/>
  <c r="L622" i="11"/>
  <c r="M622" i="11"/>
  <c r="N622" i="11"/>
  <c r="O622" i="11"/>
  <c r="P622" i="11"/>
  <c r="Q622" i="11"/>
  <c r="R622" i="11"/>
  <c r="S622" i="11"/>
  <c r="T622" i="11"/>
  <c r="U622" i="11"/>
  <c r="O623" i="11"/>
  <c r="P623" i="11"/>
  <c r="T623" i="11"/>
  <c r="U623" i="11"/>
  <c r="O624" i="11"/>
  <c r="P624" i="11"/>
  <c r="T624" i="11"/>
  <c r="U624" i="11"/>
  <c r="I626" i="11"/>
  <c r="I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L642" i="11" s="1"/>
  <c r="O642" i="11" s="1"/>
  <c r="M643" i="11"/>
  <c r="N643" i="11"/>
  <c r="Q643" i="11"/>
  <c r="R643" i="11"/>
  <c r="U643" i="11" s="1"/>
  <c r="S643" i="11"/>
  <c r="T643" i="11"/>
  <c r="L644" i="11"/>
  <c r="M644" i="11"/>
  <c r="P644" i="11" s="1"/>
  <c r="N644" i="11"/>
  <c r="O644" i="11"/>
  <c r="L645" i="11"/>
  <c r="O645" i="11" s="1"/>
  <c r="M645" i="11"/>
  <c r="N645" i="11"/>
  <c r="P645" i="11"/>
  <c r="O646" i="11"/>
  <c r="P646" i="11"/>
  <c r="T646" i="11"/>
  <c r="U646" i="11"/>
  <c r="O647" i="11"/>
  <c r="P647" i="11"/>
  <c r="Q647" i="11"/>
  <c r="Q644" i="11" s="1"/>
  <c r="R647" i="11"/>
  <c r="S647" i="11"/>
  <c r="S644" i="11" s="1"/>
  <c r="L648" i="11"/>
  <c r="O648" i="11" s="1"/>
  <c r="M648" i="11"/>
  <c r="P648" i="11" s="1"/>
  <c r="N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P691" i="11" s="1"/>
  <c r="N691" i="11"/>
  <c r="Q691" i="11"/>
  <c r="R691" i="11"/>
  <c r="S691" i="11"/>
  <c r="T691" i="11"/>
  <c r="L692" i="11"/>
  <c r="O692" i="11" s="1"/>
  <c r="M692" i="11"/>
  <c r="N692" i="11"/>
  <c r="P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3" i="11" s="1"/>
  <c r="S695" i="11"/>
  <c r="S692" i="11" s="1"/>
  <c r="L696" i="11"/>
  <c r="M696" i="11"/>
  <c r="P696" i="11" s="1"/>
  <c r="N696" i="11"/>
  <c r="O696" i="11"/>
  <c r="Q696" i="11"/>
  <c r="R696" i="11"/>
  <c r="U696" i="11" s="1"/>
  <c r="S696" i="11"/>
  <c r="T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708" i="11"/>
  <c r="K708" i="11"/>
  <c r="I709" i="11"/>
  <c r="J709" i="11"/>
  <c r="J710" i="11"/>
  <c r="K710" i="11"/>
  <c r="J712" i="11"/>
  <c r="K712" i="11"/>
  <c r="L715" i="11"/>
  <c r="M715" i="11"/>
  <c r="M714" i="11" s="1"/>
  <c r="P714" i="11" s="1"/>
  <c r="N715" i="11"/>
  <c r="P715" i="11"/>
  <c r="Q715" i="11"/>
  <c r="T715" i="11" s="1"/>
  <c r="R715" i="11"/>
  <c r="S715" i="11"/>
  <c r="L716" i="11"/>
  <c r="O716" i="11" s="1"/>
  <c r="M716" i="11"/>
  <c r="P716" i="11" s="1"/>
  <c r="N716" i="11"/>
  <c r="N714" i="11" s="1"/>
  <c r="Q716" i="11"/>
  <c r="T716" i="11" s="1"/>
  <c r="R716" i="11"/>
  <c r="S716" i="11"/>
  <c r="U716" i="11"/>
  <c r="L717" i="11"/>
  <c r="M717" i="11"/>
  <c r="P717" i="11" s="1"/>
  <c r="N717" i="11"/>
  <c r="O717" i="11"/>
  <c r="Q717" i="11"/>
  <c r="T717" i="11" s="1"/>
  <c r="R717" i="11"/>
  <c r="S717" i="11"/>
  <c r="U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N720" i="11"/>
  <c r="P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K727" i="11" s="1"/>
  <c r="J727" i="11"/>
  <c r="L729" i="11"/>
  <c r="M729" i="11"/>
  <c r="N729" i="11"/>
  <c r="N728" i="11" s="1"/>
  <c r="P729" i="11"/>
  <c r="Q729" i="11"/>
  <c r="T729" i="11" s="1"/>
  <c r="R729" i="11"/>
  <c r="S729" i="11"/>
  <c r="L730" i="11"/>
  <c r="O730" i="11" s="1"/>
  <c r="M730" i="11"/>
  <c r="P730" i="11" s="1"/>
  <c r="N730" i="11"/>
  <c r="L731" i="11"/>
  <c r="M731" i="11"/>
  <c r="P731" i="11" s="1"/>
  <c r="N731" i="11"/>
  <c r="O731" i="11"/>
  <c r="O732" i="11"/>
  <c r="P732" i="11"/>
  <c r="T732" i="11"/>
  <c r="U732" i="11"/>
  <c r="O733" i="11"/>
  <c r="P733" i="11"/>
  <c r="Q733" i="11"/>
  <c r="Q731" i="11" s="1"/>
  <c r="R733" i="11"/>
  <c r="R731" i="11" s="1"/>
  <c r="S733" i="1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0" i="11"/>
  <c r="O760" i="11" s="1"/>
  <c r="L761" i="11"/>
  <c r="O761" i="11" s="1"/>
  <c r="M761" i="11"/>
  <c r="N761" i="11"/>
  <c r="Q761" i="11"/>
  <c r="R761" i="11"/>
  <c r="U761" i="11" s="1"/>
  <c r="S761" i="11"/>
  <c r="T761" i="11"/>
  <c r="L762" i="11"/>
  <c r="O762" i="11" s="1"/>
  <c r="M762" i="11"/>
  <c r="N762" i="11"/>
  <c r="P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T765" i="11" s="1"/>
  <c r="R765" i="11"/>
  <c r="R763" i="11" s="1"/>
  <c r="U763" i="11" s="1"/>
  <c r="S765" i="1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O22" i="10" s="1"/>
  <c r="M22" i="10"/>
  <c r="N22" i="10"/>
  <c r="Q22" i="10"/>
  <c r="Q19" i="10" s="1"/>
  <c r="T19" i="10" s="1"/>
  <c r="R22" i="10"/>
  <c r="R19" i="10" s="1"/>
  <c r="S22" i="10"/>
  <c r="L25" i="10"/>
  <c r="O25" i="10" s="1"/>
  <c r="M25" i="10"/>
  <c r="N25" i="10"/>
  <c r="Q25" i="10"/>
  <c r="Q24" i="10" s="1"/>
  <c r="T24" i="10" s="1"/>
  <c r="R25" i="10"/>
  <c r="U25" i="10" s="1"/>
  <c r="S25" i="10"/>
  <c r="S24" i="10" s="1"/>
  <c r="T25" i="10"/>
  <c r="Q26" i="10"/>
  <c r="T26" i="10" s="1"/>
  <c r="R26" i="10"/>
  <c r="S26" i="10"/>
  <c r="U26" i="10"/>
  <c r="L45" i="10"/>
  <c r="M45" i="10"/>
  <c r="N45" i="10"/>
  <c r="O45" i="10"/>
  <c r="P45" i="10"/>
  <c r="Q45" i="10"/>
  <c r="R45" i="10"/>
  <c r="R44" i="10" s="1"/>
  <c r="U44" i="10" s="1"/>
  <c r="S45" i="10"/>
  <c r="S44" i="10" s="1"/>
  <c r="T45" i="10"/>
  <c r="U45" i="10"/>
  <c r="Q46" i="10"/>
  <c r="T46" i="10" s="1"/>
  <c r="R46" i="10"/>
  <c r="U46" i="10" s="1"/>
  <c r="S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L50" i="10" s="1"/>
  <c r="O50" i="10" s="1"/>
  <c r="M52" i="10"/>
  <c r="N52" i="10"/>
  <c r="T52" i="10"/>
  <c r="U52" i="10"/>
  <c r="L60" i="10"/>
  <c r="M60" i="10"/>
  <c r="N60" i="10"/>
  <c r="O60" i="10"/>
  <c r="P60" i="10"/>
  <c r="Q60" i="10"/>
  <c r="Q59" i="10" s="1"/>
  <c r="T59" i="10" s="1"/>
  <c r="R60" i="10"/>
  <c r="S60" i="10"/>
  <c r="U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M64" i="10"/>
  <c r="M62" i="10" s="1"/>
  <c r="N64" i="10"/>
  <c r="N62" i="10" s="1"/>
  <c r="T64" i="10"/>
  <c r="U64" i="10"/>
  <c r="Q65" i="10"/>
  <c r="T65" i="10" s="1"/>
  <c r="R65" i="10"/>
  <c r="S65" i="10"/>
  <c r="U65" i="10"/>
  <c r="O66" i="10"/>
  <c r="P66" i="10"/>
  <c r="T66" i="10"/>
  <c r="U66" i="10"/>
  <c r="L67" i="10"/>
  <c r="L65" i="10" s="1"/>
  <c r="O65" i="10" s="1"/>
  <c r="M67" i="10"/>
  <c r="N67" i="10"/>
  <c r="N65" i="10" s="1"/>
  <c r="T67" i="10"/>
  <c r="U67" i="10"/>
  <c r="L73" i="10"/>
  <c r="O73" i="10" s="1"/>
  <c r="M73" i="10"/>
  <c r="P73" i="10" s="1"/>
  <c r="N73" i="10"/>
  <c r="Q73" i="10"/>
  <c r="R73" i="10"/>
  <c r="U73" i="10" s="1"/>
  <c r="S73" i="10"/>
  <c r="T73" i="10"/>
  <c r="O76" i="10"/>
  <c r="P76" i="10"/>
  <c r="T76" i="10"/>
  <c r="U76" i="10"/>
  <c r="L77" i="10"/>
  <c r="M77" i="10"/>
  <c r="M75" i="10" s="1"/>
  <c r="P75" i="10" s="1"/>
  <c r="N77" i="10"/>
  <c r="Q77" i="10"/>
  <c r="Q74" i="10" s="1"/>
  <c r="T74" i="10" s="1"/>
  <c r="R77" i="10"/>
  <c r="S77" i="10"/>
  <c r="S75" i="10" s="1"/>
  <c r="Q78" i="10"/>
  <c r="R78" i="10"/>
  <c r="U78" i="10" s="1"/>
  <c r="S78" i="10"/>
  <c r="T78" i="10"/>
  <c r="O79" i="10"/>
  <c r="P79" i="10"/>
  <c r="T79" i="10"/>
  <c r="U79" i="10"/>
  <c r="L80" i="10"/>
  <c r="O80" i="10" s="1"/>
  <c r="M80" i="10"/>
  <c r="N80" i="10"/>
  <c r="N78" i="10" s="1"/>
  <c r="T80" i="10"/>
  <c r="U80" i="10"/>
  <c r="J82" i="10"/>
  <c r="J70" i="10" s="1"/>
  <c r="J83" i="10"/>
  <c r="J71" i="10" s="1"/>
  <c r="I84" i="10"/>
  <c r="I85" i="10"/>
  <c r="K85" i="10" s="1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O95" i="10" s="1"/>
  <c r="M95" i="10"/>
  <c r="N95" i="10"/>
  <c r="Q95" i="10"/>
  <c r="R95" i="10"/>
  <c r="S95" i="10"/>
  <c r="U95" i="10"/>
  <c r="O98" i="10"/>
  <c r="P98" i="10"/>
  <c r="T98" i="10"/>
  <c r="U98" i="10"/>
  <c r="L99" i="10"/>
  <c r="M99" i="10"/>
  <c r="N99" i="10"/>
  <c r="N97" i="10" s="1"/>
  <c r="Q99" i="10"/>
  <c r="Q96" i="10" s="1"/>
  <c r="T96" i="10" s="1"/>
  <c r="R99" i="10"/>
  <c r="R96" i="10" s="1"/>
  <c r="U96" i="10" s="1"/>
  <c r="S99" i="10"/>
  <c r="S96" i="10" s="1"/>
  <c r="Q100" i="10"/>
  <c r="R100" i="10"/>
  <c r="S100" i="10"/>
  <c r="T100" i="10"/>
  <c r="U100" i="10"/>
  <c r="O101" i="10"/>
  <c r="P101" i="10"/>
  <c r="T101" i="10"/>
  <c r="U101" i="10"/>
  <c r="L102" i="10"/>
  <c r="O102" i="10" s="1"/>
  <c r="M102" i="10"/>
  <c r="P102" i="10" s="1"/>
  <c r="N102" i="10"/>
  <c r="N100" i="10" s="1"/>
  <c r="T102" i="10"/>
  <c r="U102" i="10"/>
  <c r="I108" i="10"/>
  <c r="K108" i="10" s="1"/>
  <c r="I109" i="10"/>
  <c r="K109" i="10" s="1"/>
  <c r="I114" i="10"/>
  <c r="K114" i="10" s="1"/>
  <c r="J116" i="10"/>
  <c r="L118" i="10"/>
  <c r="M118" i="10"/>
  <c r="N118" i="10"/>
  <c r="O118" i="10"/>
  <c r="P118" i="10"/>
  <c r="Q118" i="10"/>
  <c r="R118" i="10"/>
  <c r="S118" i="10"/>
  <c r="U118" i="10"/>
  <c r="O121" i="10"/>
  <c r="P121" i="10"/>
  <c r="T121" i="10"/>
  <c r="U121" i="10"/>
  <c r="L122" i="10"/>
  <c r="M122" i="10"/>
  <c r="M120" i="10" s="1"/>
  <c r="P120" i="10" s="1"/>
  <c r="N122" i="10"/>
  <c r="N120" i="10" s="1"/>
  <c r="Q122" i="10"/>
  <c r="Q119" i="10" s="1"/>
  <c r="R122" i="10"/>
  <c r="R119" i="10" s="1"/>
  <c r="S122" i="10"/>
  <c r="S119" i="10" s="1"/>
  <c r="S117" i="10" s="1"/>
  <c r="Q123" i="10"/>
  <c r="T123" i="10" s="1"/>
  <c r="R123" i="10"/>
  <c r="S123" i="10"/>
  <c r="U123" i="10"/>
  <c r="O124" i="10"/>
  <c r="P124" i="10"/>
  <c r="T124" i="10"/>
  <c r="U124" i="10"/>
  <c r="L125" i="10"/>
  <c r="O125" i="10" s="1"/>
  <c r="M125" i="10"/>
  <c r="N125" i="10"/>
  <c r="N123" i="10" s="1"/>
  <c r="T125" i="10"/>
  <c r="U125" i="10"/>
  <c r="I127" i="10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P140" i="10" s="1"/>
  <c r="N140" i="10"/>
  <c r="Q140" i="10"/>
  <c r="R140" i="10"/>
  <c r="S140" i="10"/>
  <c r="T140" i="10"/>
  <c r="U140" i="10"/>
  <c r="O143" i="10"/>
  <c r="P143" i="10"/>
  <c r="T143" i="10"/>
  <c r="U143" i="10"/>
  <c r="L144" i="10"/>
  <c r="L142" i="10" s="1"/>
  <c r="O142" i="10" s="1"/>
  <c r="M144" i="10"/>
  <c r="N144" i="10"/>
  <c r="Q144" i="10"/>
  <c r="T144" i="10" s="1"/>
  <c r="R144" i="10"/>
  <c r="S144" i="10"/>
  <c r="S141" i="10" s="1"/>
  <c r="Q145" i="10"/>
  <c r="T145" i="10" s="1"/>
  <c r="R145" i="10"/>
  <c r="U145" i="10" s="1"/>
  <c r="S145" i="10"/>
  <c r="O146" i="10"/>
  <c r="P146" i="10"/>
  <c r="T146" i="10"/>
  <c r="U146" i="10"/>
  <c r="L147" i="10"/>
  <c r="L145" i="10" s="1"/>
  <c r="O145" i="10" s="1"/>
  <c r="M147" i="10"/>
  <c r="M145" i="10" s="1"/>
  <c r="P145" i="10" s="1"/>
  <c r="N147" i="10"/>
  <c r="N145" i="10" s="1"/>
  <c r="T147" i="10"/>
  <c r="U147" i="10"/>
  <c r="I150" i="10"/>
  <c r="K150" i="10" s="1"/>
  <c r="I151" i="10"/>
  <c r="K151" i="10" s="1"/>
  <c r="I152" i="10"/>
  <c r="I153" i="10"/>
  <c r="I138" i="10" s="1"/>
  <c r="K138" i="10" s="1"/>
  <c r="I154" i="10"/>
  <c r="J156" i="10"/>
  <c r="L158" i="10"/>
  <c r="M158" i="10"/>
  <c r="N158" i="10"/>
  <c r="P158" i="10"/>
  <c r="Q158" i="10"/>
  <c r="R158" i="10"/>
  <c r="S158" i="10"/>
  <c r="O161" i="10"/>
  <c r="P161" i="10"/>
  <c r="T161" i="10"/>
  <c r="U161" i="10"/>
  <c r="L162" i="10"/>
  <c r="M162" i="10"/>
  <c r="P162" i="10" s="1"/>
  <c r="N162" i="10"/>
  <c r="N160" i="10" s="1"/>
  <c r="Q162" i="10"/>
  <c r="Q159" i="10" s="1"/>
  <c r="T159" i="10" s="1"/>
  <c r="R162" i="10"/>
  <c r="R159" i="10" s="1"/>
  <c r="U159" i="10" s="1"/>
  <c r="S162" i="10"/>
  <c r="Q163" i="10"/>
  <c r="T163" i="10" s="1"/>
  <c r="R163" i="10"/>
  <c r="U163" i="10" s="1"/>
  <c r="S163" i="10"/>
  <c r="O164" i="10"/>
  <c r="P164" i="10"/>
  <c r="T164" i="10"/>
  <c r="U164" i="10"/>
  <c r="L165" i="10"/>
  <c r="O165" i="10" s="1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K169" i="10" s="1"/>
  <c r="J172" i="10"/>
  <c r="L174" i="10"/>
  <c r="O174" i="10" s="1"/>
  <c r="M174" i="10"/>
  <c r="P174" i="10" s="1"/>
  <c r="N174" i="10"/>
  <c r="Q174" i="10"/>
  <c r="R174" i="10"/>
  <c r="S174" i="10"/>
  <c r="U174" i="10"/>
  <c r="O177" i="10"/>
  <c r="P177" i="10"/>
  <c r="T177" i="10"/>
  <c r="U177" i="10"/>
  <c r="L178" i="10"/>
  <c r="M178" i="10"/>
  <c r="N178" i="10"/>
  <c r="N176" i="10" s="1"/>
  <c r="Q178" i="10"/>
  <c r="R178" i="10"/>
  <c r="R175" i="10" s="1"/>
  <c r="U175" i="10" s="1"/>
  <c r="S178" i="10"/>
  <c r="S176" i="10" s="1"/>
  <c r="Q179" i="10"/>
  <c r="R179" i="10"/>
  <c r="S179" i="10"/>
  <c r="T179" i="10"/>
  <c r="U179" i="10"/>
  <c r="O180" i="10"/>
  <c r="P180" i="10"/>
  <c r="T180" i="10"/>
  <c r="U180" i="10"/>
  <c r="L181" i="10"/>
  <c r="M181" i="10"/>
  <c r="N181" i="10"/>
  <c r="N179" i="10" s="1"/>
  <c r="T181" i="10"/>
  <c r="U181" i="10"/>
  <c r="I183" i="10"/>
  <c r="I172" i="10" s="1"/>
  <c r="K172" i="10" s="1"/>
  <c r="K184" i="10"/>
  <c r="L187" i="10"/>
  <c r="O187" i="10" s="1"/>
  <c r="M187" i="10"/>
  <c r="N187" i="10"/>
  <c r="Q187" i="10"/>
  <c r="R187" i="10"/>
  <c r="S187" i="10"/>
  <c r="T187" i="10"/>
  <c r="U187" i="10"/>
  <c r="O190" i="10"/>
  <c r="P190" i="10"/>
  <c r="T190" i="10"/>
  <c r="U190" i="10"/>
  <c r="L191" i="10"/>
  <c r="M191" i="10"/>
  <c r="N191" i="10"/>
  <c r="N189" i="10" s="1"/>
  <c r="Q191" i="10"/>
  <c r="Q188" i="10" s="1"/>
  <c r="R191" i="10"/>
  <c r="R188" i="10" s="1"/>
  <c r="S191" i="10"/>
  <c r="S188" i="10" s="1"/>
  <c r="Q192" i="10"/>
  <c r="R192" i="10"/>
  <c r="U192" i="10" s="1"/>
  <c r="S192" i="10"/>
  <c r="T192" i="10"/>
  <c r="O193" i="10"/>
  <c r="P193" i="10"/>
  <c r="T193" i="10"/>
  <c r="U193" i="10"/>
  <c r="L194" i="10"/>
  <c r="O194" i="10" s="1"/>
  <c r="M194" i="10"/>
  <c r="N194" i="10"/>
  <c r="N192" i="10" s="1"/>
  <c r="T194" i="10"/>
  <c r="U194" i="10"/>
  <c r="J195" i="10"/>
  <c r="L196" i="10"/>
  <c r="O196" i="10" s="1"/>
  <c r="P196" i="10"/>
  <c r="I198" i="10"/>
  <c r="I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K209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K251" i="10"/>
  <c r="K252" i="10"/>
  <c r="J253" i="10"/>
  <c r="N254" i="10"/>
  <c r="N232" i="10" s="1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M267" i="10"/>
  <c r="P267" i="10" s="1"/>
  <c r="N267" i="10"/>
  <c r="Q267" i="10"/>
  <c r="R267" i="10"/>
  <c r="S267" i="10"/>
  <c r="O270" i="10"/>
  <c r="P270" i="10"/>
  <c r="T270" i="10"/>
  <c r="U270" i="10"/>
  <c r="L271" i="10"/>
  <c r="M271" i="10"/>
  <c r="N271" i="10"/>
  <c r="N269" i="10" s="1"/>
  <c r="Q271" i="10"/>
  <c r="Q269" i="10" s="1"/>
  <c r="R271" i="10"/>
  <c r="R268" i="10" s="1"/>
  <c r="S271" i="10"/>
  <c r="S268" i="10" s="1"/>
  <c r="Q272" i="10"/>
  <c r="T272" i="10" s="1"/>
  <c r="R272" i="10"/>
  <c r="U272" i="10" s="1"/>
  <c r="S272" i="10"/>
  <c r="O273" i="10"/>
  <c r="P273" i="10"/>
  <c r="T273" i="10"/>
  <c r="U273" i="10"/>
  <c r="L274" i="10"/>
  <c r="M274" i="10"/>
  <c r="P274" i="10" s="1"/>
  <c r="N274" i="10"/>
  <c r="N272" i="10" s="1"/>
  <c r="T274" i="10"/>
  <c r="U274" i="10"/>
  <c r="I276" i="10"/>
  <c r="I265" i="10" s="1"/>
  <c r="K265" i="10" s="1"/>
  <c r="J281" i="10"/>
  <c r="Q282" i="10"/>
  <c r="T282" i="10" s="1"/>
  <c r="L283" i="10"/>
  <c r="M283" i="10"/>
  <c r="N283" i="10"/>
  <c r="Q283" i="10"/>
  <c r="T283" i="10" s="1"/>
  <c r="R283" i="10"/>
  <c r="R282" i="10" s="1"/>
  <c r="U282" i="10" s="1"/>
  <c r="S283" i="10"/>
  <c r="S282" i="10" s="1"/>
  <c r="Q284" i="10"/>
  <c r="R284" i="10"/>
  <c r="S284" i="10"/>
  <c r="T284" i="10"/>
  <c r="U284" i="10"/>
  <c r="Q285" i="10"/>
  <c r="T285" i="10" s="1"/>
  <c r="R285" i="10"/>
  <c r="S285" i="10"/>
  <c r="U285" i="10"/>
  <c r="O286" i="10"/>
  <c r="P286" i="10"/>
  <c r="T286" i="10"/>
  <c r="U286" i="10"/>
  <c r="L287" i="10"/>
  <c r="L285" i="10" s="1"/>
  <c r="O285" i="10" s="1"/>
  <c r="M287" i="10"/>
  <c r="N287" i="10"/>
  <c r="T287" i="10"/>
  <c r="U287" i="10"/>
  <c r="Q288" i="10"/>
  <c r="R288" i="10"/>
  <c r="U288" i="10" s="1"/>
  <c r="S288" i="10"/>
  <c r="T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I281" i="10" s="1"/>
  <c r="K281" i="10" s="1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M304" i="10"/>
  <c r="N304" i="10"/>
  <c r="Q304" i="10"/>
  <c r="T304" i="10" s="1"/>
  <c r="R304" i="10"/>
  <c r="S304" i="10"/>
  <c r="O307" i="10"/>
  <c r="P307" i="10"/>
  <c r="T307" i="10"/>
  <c r="U307" i="10"/>
  <c r="L308" i="10"/>
  <c r="L306" i="10" s="1"/>
  <c r="O306" i="10" s="1"/>
  <c r="M308" i="10"/>
  <c r="N308" i="10"/>
  <c r="N306" i="10" s="1"/>
  <c r="Q308" i="10"/>
  <c r="R308" i="10"/>
  <c r="R306" i="10" s="1"/>
  <c r="U306" i="10" s="1"/>
  <c r="S308" i="10"/>
  <c r="S306" i="10" s="1"/>
  <c r="Q309" i="10"/>
  <c r="T309" i="10" s="1"/>
  <c r="R309" i="10"/>
  <c r="U309" i="10" s="1"/>
  <c r="S309" i="10"/>
  <c r="O310" i="10"/>
  <c r="P310" i="10"/>
  <c r="T310" i="10"/>
  <c r="U310" i="10"/>
  <c r="L311" i="10"/>
  <c r="L309" i="10" s="1"/>
  <c r="O309" i="10" s="1"/>
  <c r="M311" i="10"/>
  <c r="N311" i="10"/>
  <c r="N309" i="10" s="1"/>
  <c r="T311" i="10"/>
  <c r="U311" i="10"/>
  <c r="I314" i="10"/>
  <c r="K314" i="10" s="1"/>
  <c r="J319" i="10"/>
  <c r="L321" i="10"/>
  <c r="O321" i="10" s="1"/>
  <c r="M321" i="10"/>
  <c r="N321" i="10"/>
  <c r="Q321" i="10"/>
  <c r="R321" i="10"/>
  <c r="U321" i="10" s="1"/>
  <c r="S321" i="10"/>
  <c r="Q322" i="10"/>
  <c r="T322" i="10" s="1"/>
  <c r="R322" i="10"/>
  <c r="S322" i="10"/>
  <c r="Q323" i="10"/>
  <c r="R323" i="10"/>
  <c r="S323" i="10"/>
  <c r="T323" i="10"/>
  <c r="U323" i="10"/>
  <c r="O324" i="10"/>
  <c r="P324" i="10"/>
  <c r="T324" i="10"/>
  <c r="U324" i="10"/>
  <c r="L325" i="10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M328" i="10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Q334" i="10"/>
  <c r="R334" i="10"/>
  <c r="S334" i="10"/>
  <c r="Q335" i="10"/>
  <c r="T335" i="10" s="1"/>
  <c r="R335" i="10"/>
  <c r="U335" i="10" s="1"/>
  <c r="S335" i="10"/>
  <c r="S333" i="10" s="1"/>
  <c r="Q336" i="10"/>
  <c r="R336" i="10"/>
  <c r="U336" i="10" s="1"/>
  <c r="S336" i="10"/>
  <c r="T336" i="10"/>
  <c r="O337" i="10"/>
  <c r="P337" i="10"/>
  <c r="T337" i="10"/>
  <c r="U337" i="10"/>
  <c r="L338" i="10"/>
  <c r="M338" i="10"/>
  <c r="N338" i="10"/>
  <c r="N336" i="10" s="1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O341" i="10" s="1"/>
  <c r="M341" i="10"/>
  <c r="M339" i="10" s="1"/>
  <c r="P339" i="10" s="1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P357" i="10" s="1"/>
  <c r="N357" i="10"/>
  <c r="Q357" i="10"/>
  <c r="R357" i="10"/>
  <c r="S357" i="10"/>
  <c r="S356" i="10" s="1"/>
  <c r="T357" i="10"/>
  <c r="U357" i="10"/>
  <c r="Q358" i="10"/>
  <c r="R358" i="10"/>
  <c r="R356" i="10" s="1"/>
  <c r="U356" i="10" s="1"/>
  <c r="S358" i="10"/>
  <c r="U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N361" i="10"/>
  <c r="N359" i="10" s="1"/>
  <c r="T361" i="10"/>
  <c r="U361" i="10"/>
  <c r="Q362" i="10"/>
  <c r="T362" i="10" s="1"/>
  <c r="R362" i="10"/>
  <c r="S362" i="10"/>
  <c r="U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O376" i="10" s="1"/>
  <c r="M376" i="10"/>
  <c r="N376" i="10"/>
  <c r="Q376" i="10"/>
  <c r="T376" i="10" s="1"/>
  <c r="R376" i="10"/>
  <c r="S376" i="10"/>
  <c r="U376" i="10"/>
  <c r="L377" i="10"/>
  <c r="O377" i="10" s="1"/>
  <c r="M377" i="10"/>
  <c r="P377" i="10" s="1"/>
  <c r="N377" i="10"/>
  <c r="N375" i="10" s="1"/>
  <c r="L378" i="10"/>
  <c r="O378" i="10" s="1"/>
  <c r="M378" i="10"/>
  <c r="P378" i="10" s="1"/>
  <c r="N378" i="10"/>
  <c r="O379" i="10"/>
  <c r="P379" i="10"/>
  <c r="T379" i="10"/>
  <c r="U379" i="10"/>
  <c r="O380" i="10"/>
  <c r="P380" i="10"/>
  <c r="Q380" i="10"/>
  <c r="Q378" i="10" s="1"/>
  <c r="R380" i="10"/>
  <c r="R378" i="10" s="1"/>
  <c r="S380" i="10"/>
  <c r="L381" i="10"/>
  <c r="O381" i="10" s="1"/>
  <c r="M381" i="10"/>
  <c r="P381" i="10" s="1"/>
  <c r="N381" i="10"/>
  <c r="Q381" i="10"/>
  <c r="T381" i="10" s="1"/>
  <c r="R381" i="10"/>
  <c r="U381" i="10" s="1"/>
  <c r="S381" i="10"/>
  <c r="O382" i="10"/>
  <c r="P382" i="10"/>
  <c r="T382" i="10"/>
  <c r="U382" i="10"/>
  <c r="O383" i="10"/>
  <c r="P383" i="10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J391" i="10"/>
  <c r="K391" i="10"/>
  <c r="L393" i="10"/>
  <c r="M393" i="10"/>
  <c r="M392" i="10" s="1"/>
  <c r="P392" i="10" s="1"/>
  <c r="N393" i="10"/>
  <c r="Q393" i="10"/>
  <c r="Q392" i="10" s="1"/>
  <c r="T392" i="10" s="1"/>
  <c r="R393" i="10"/>
  <c r="S393" i="10"/>
  <c r="L394" i="10"/>
  <c r="M394" i="10"/>
  <c r="P394" i="10" s="1"/>
  <c r="N394" i="10"/>
  <c r="O394" i="10"/>
  <c r="Q394" i="10"/>
  <c r="R394" i="10"/>
  <c r="S394" i="10"/>
  <c r="T394" i="10"/>
  <c r="U394" i="10"/>
  <c r="L395" i="10"/>
  <c r="O395" i="10" s="1"/>
  <c r="M395" i="10"/>
  <c r="P395" i="10" s="1"/>
  <c r="N395" i="10"/>
  <c r="Q395" i="10"/>
  <c r="T395" i="10" s="1"/>
  <c r="R395" i="10"/>
  <c r="U395" i="10" s="1"/>
  <c r="S395" i="10"/>
  <c r="O396" i="10"/>
  <c r="P396" i="10"/>
  <c r="T396" i="10"/>
  <c r="U396" i="10"/>
  <c r="O397" i="10"/>
  <c r="P397" i="10"/>
  <c r="T397" i="10"/>
  <c r="U397" i="10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M413" i="10" s="1"/>
  <c r="P413" i="10" s="1"/>
  <c r="N414" i="10"/>
  <c r="N413" i="10" s="1"/>
  <c r="Q414" i="10"/>
  <c r="R414" i="10"/>
  <c r="S414" i="10"/>
  <c r="U414" i="10"/>
  <c r="L415" i="10"/>
  <c r="O415" i="10" s="1"/>
  <c r="M415" i="10"/>
  <c r="P415" i="10" s="1"/>
  <c r="N415" i="10"/>
  <c r="L416" i="10"/>
  <c r="O416" i="10" s="1"/>
  <c r="M416" i="10"/>
  <c r="P416" i="10" s="1"/>
  <c r="N416" i="10"/>
  <c r="O417" i="10"/>
  <c r="P417" i="10"/>
  <c r="T417" i="10"/>
  <c r="U417" i="10"/>
  <c r="O418" i="10"/>
  <c r="P418" i="10"/>
  <c r="Q418" i="10"/>
  <c r="R418" i="10"/>
  <c r="R416" i="10" s="1"/>
  <c r="U416" i="10" s="1"/>
  <c r="S418" i="10"/>
  <c r="S416" i="10" s="1"/>
  <c r="L419" i="10"/>
  <c r="O419" i="10" s="1"/>
  <c r="M419" i="10"/>
  <c r="P419" i="10" s="1"/>
  <c r="N419" i="10"/>
  <c r="Q419" i="10"/>
  <c r="T419" i="10" s="1"/>
  <c r="R419" i="10"/>
  <c r="U419" i="10" s="1"/>
  <c r="S419" i="10"/>
  <c r="O420" i="10"/>
  <c r="P420" i="10"/>
  <c r="T420" i="10"/>
  <c r="U420" i="10"/>
  <c r="O421" i="10"/>
  <c r="P421" i="10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K440" i="10" s="1"/>
  <c r="I441" i="10"/>
  <c r="K441" i="10" s="1"/>
  <c r="J446" i="10"/>
  <c r="J440" i="10" s="1"/>
  <c r="J423" i="10" s="1"/>
  <c r="J412" i="10" s="1"/>
  <c r="J447" i="10"/>
  <c r="J441" i="10" s="1"/>
  <c r="I457" i="10"/>
  <c r="I456" i="10" s="1"/>
  <c r="K456" i="10" s="1"/>
  <c r="I458" i="10"/>
  <c r="K458" i="10" s="1"/>
  <c r="J459" i="10"/>
  <c r="J457" i="10" s="1"/>
  <c r="J456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L494" i="10"/>
  <c r="M494" i="10"/>
  <c r="N494" i="10"/>
  <c r="Q494" i="10"/>
  <c r="R494" i="10"/>
  <c r="U494" i="10" s="1"/>
  <c r="S494" i="10"/>
  <c r="T494" i="10"/>
  <c r="L495" i="10"/>
  <c r="M495" i="10"/>
  <c r="N495" i="10"/>
  <c r="O495" i="10"/>
  <c r="P495" i="10"/>
  <c r="L496" i="10"/>
  <c r="O496" i="10" s="1"/>
  <c r="M496" i="10"/>
  <c r="P496" i="10" s="1"/>
  <c r="N496" i="10"/>
  <c r="O497" i="10"/>
  <c r="P497" i="10"/>
  <c r="T497" i="10"/>
  <c r="U497" i="10"/>
  <c r="O498" i="10"/>
  <c r="P498" i="10"/>
  <c r="Q498" i="10"/>
  <c r="T498" i="10" s="1"/>
  <c r="R498" i="10"/>
  <c r="S498" i="10"/>
  <c r="S496" i="10" s="1"/>
  <c r="L499" i="10"/>
  <c r="O499" i="10" s="1"/>
  <c r="M499" i="10"/>
  <c r="P499" i="10" s="1"/>
  <c r="N499" i="10"/>
  <c r="Q499" i="10"/>
  <c r="R499" i="10"/>
  <c r="U499" i="10" s="1"/>
  <c r="S499" i="10"/>
  <c r="T499" i="10"/>
  <c r="O500" i="10"/>
  <c r="P500" i="10"/>
  <c r="T500" i="10"/>
  <c r="U500" i="10"/>
  <c r="O501" i="10"/>
  <c r="P501" i="10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N514" i="10"/>
  <c r="Q514" i="10"/>
  <c r="R514" i="10"/>
  <c r="S514" i="10"/>
  <c r="Q515" i="10"/>
  <c r="T515" i="10" s="1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N518" i="10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O521" i="10" s="1"/>
  <c r="M521" i="10"/>
  <c r="N521" i="10"/>
  <c r="N519" i="10" s="1"/>
  <c r="T521" i="10"/>
  <c r="U521" i="10"/>
  <c r="K523" i="10"/>
  <c r="K524" i="10"/>
  <c r="I533" i="10"/>
  <c r="J533" i="10"/>
  <c r="K533" i="10"/>
  <c r="L535" i="10"/>
  <c r="M535" i="10"/>
  <c r="N535" i="10"/>
  <c r="Q535" i="10"/>
  <c r="R535" i="10"/>
  <c r="S535" i="10"/>
  <c r="L536" i="10"/>
  <c r="O536" i="10" s="1"/>
  <c r="M536" i="10"/>
  <c r="P536" i="10" s="1"/>
  <c r="N536" i="10"/>
  <c r="Q536" i="10"/>
  <c r="R536" i="10"/>
  <c r="U536" i="10" s="1"/>
  <c r="S536" i="10"/>
  <c r="T536" i="10"/>
  <c r="L537" i="10"/>
  <c r="O537" i="10" s="1"/>
  <c r="M537" i="10"/>
  <c r="N537" i="10"/>
  <c r="P537" i="10"/>
  <c r="Q537" i="10"/>
  <c r="T537" i="10" s="1"/>
  <c r="R537" i="10"/>
  <c r="U537" i="10" s="1"/>
  <c r="S537" i="10"/>
  <c r="O538" i="10"/>
  <c r="P538" i="10"/>
  <c r="T538" i="10"/>
  <c r="U538" i="10"/>
  <c r="O539" i="10"/>
  <c r="P539" i="10"/>
  <c r="T539" i="10"/>
  <c r="U539" i="10"/>
  <c r="L540" i="10"/>
  <c r="O540" i="10" s="1"/>
  <c r="M540" i="10"/>
  <c r="P540" i="10" s="1"/>
  <c r="N540" i="10"/>
  <c r="Q540" i="10"/>
  <c r="T540" i="10" s="1"/>
  <c r="R540" i="10"/>
  <c r="U540" i="10" s="1"/>
  <c r="S540" i="10"/>
  <c r="O541" i="10"/>
  <c r="P541" i="10"/>
  <c r="T541" i="10"/>
  <c r="U541" i="10"/>
  <c r="O542" i="10"/>
  <c r="P542" i="10"/>
  <c r="T542" i="10"/>
  <c r="U542" i="10"/>
  <c r="I554" i="10"/>
  <c r="K554" i="10" s="1"/>
  <c r="J554" i="10"/>
  <c r="S555" i="10"/>
  <c r="L556" i="10"/>
  <c r="M556" i="10"/>
  <c r="M555" i="10" s="1"/>
  <c r="P555" i="10" s="1"/>
  <c r="N556" i="10"/>
  <c r="O556" i="10"/>
  <c r="P556" i="10"/>
  <c r="Q556" i="10"/>
  <c r="R556" i="10"/>
  <c r="S556" i="10"/>
  <c r="U556" i="10"/>
  <c r="L557" i="10"/>
  <c r="O557" i="10" s="1"/>
  <c r="M557" i="10"/>
  <c r="P557" i="10" s="1"/>
  <c r="N557" i="10"/>
  <c r="N555" i="10" s="1"/>
  <c r="Q557" i="10"/>
  <c r="T557" i="10" s="1"/>
  <c r="R557" i="10"/>
  <c r="U557" i="10" s="1"/>
  <c r="S557" i="10"/>
  <c r="L558" i="10"/>
  <c r="M558" i="10"/>
  <c r="P558" i="10" s="1"/>
  <c r="N558" i="10"/>
  <c r="O558" i="10"/>
  <c r="Q558" i="10"/>
  <c r="R558" i="10"/>
  <c r="S558" i="10"/>
  <c r="T558" i="10"/>
  <c r="U558" i="10"/>
  <c r="O559" i="10"/>
  <c r="P559" i="10"/>
  <c r="T559" i="10"/>
  <c r="U559" i="10"/>
  <c r="O560" i="10"/>
  <c r="P560" i="10"/>
  <c r="T560" i="10"/>
  <c r="U560" i="10"/>
  <c r="L561" i="10"/>
  <c r="M561" i="10"/>
  <c r="P561" i="10" s="1"/>
  <c r="N561" i="10"/>
  <c r="O561" i="10"/>
  <c r="Q561" i="10"/>
  <c r="R561" i="10"/>
  <c r="S561" i="10"/>
  <c r="T561" i="10"/>
  <c r="U561" i="10"/>
  <c r="O562" i="10"/>
  <c r="P562" i="10"/>
  <c r="T562" i="10"/>
  <c r="U562" i="10"/>
  <c r="O563" i="10"/>
  <c r="P563" i="10"/>
  <c r="T563" i="10"/>
  <c r="U563" i="10"/>
  <c r="I575" i="10"/>
  <c r="K575" i="10" s="1"/>
  <c r="J575" i="10"/>
  <c r="L577" i="10"/>
  <c r="M577" i="10"/>
  <c r="P577" i="10" s="1"/>
  <c r="N577" i="10"/>
  <c r="Q577" i="10"/>
  <c r="R577" i="10"/>
  <c r="U577" i="10" s="1"/>
  <c r="S577" i="10"/>
  <c r="S576" i="10" s="1"/>
  <c r="T577" i="10"/>
  <c r="L578" i="10"/>
  <c r="M578" i="10"/>
  <c r="N578" i="10"/>
  <c r="O578" i="10"/>
  <c r="P578" i="10"/>
  <c r="Q578" i="10"/>
  <c r="Q576" i="10" s="1"/>
  <c r="T576" i="10" s="1"/>
  <c r="R578" i="10"/>
  <c r="S578" i="10"/>
  <c r="T578" i="10"/>
  <c r="U578" i="10"/>
  <c r="L579" i="10"/>
  <c r="O579" i="10" s="1"/>
  <c r="M579" i="10"/>
  <c r="P579" i="10" s="1"/>
  <c r="N579" i="10"/>
  <c r="Q579" i="10"/>
  <c r="T579" i="10" s="1"/>
  <c r="R579" i="10"/>
  <c r="U579" i="10" s="1"/>
  <c r="S579" i="10"/>
  <c r="O580" i="10"/>
  <c r="P580" i="10"/>
  <c r="T580" i="10"/>
  <c r="U580" i="10"/>
  <c r="O581" i="10"/>
  <c r="P581" i="10"/>
  <c r="T581" i="10"/>
  <c r="U581" i="10"/>
  <c r="L582" i="10"/>
  <c r="O582" i="10" s="1"/>
  <c r="M582" i="10"/>
  <c r="P582" i="10" s="1"/>
  <c r="N582" i="10"/>
  <c r="Q582" i="10"/>
  <c r="T582" i="10" s="1"/>
  <c r="R582" i="10"/>
  <c r="U582" i="10" s="1"/>
  <c r="S582" i="10"/>
  <c r="O583" i="10"/>
  <c r="P583" i="10"/>
  <c r="T583" i="10"/>
  <c r="U583" i="10"/>
  <c r="O584" i="10"/>
  <c r="P584" i="10"/>
  <c r="T584" i="10"/>
  <c r="U584" i="10"/>
  <c r="L600" i="10"/>
  <c r="L599" i="10" s="1"/>
  <c r="O599" i="10" s="1"/>
  <c r="M600" i="10"/>
  <c r="P600" i="10" s="1"/>
  <c r="N600" i="10"/>
  <c r="Q600" i="10"/>
  <c r="R600" i="10"/>
  <c r="R599" i="10" s="1"/>
  <c r="U599" i="10" s="1"/>
  <c r="S600" i="10"/>
  <c r="T600" i="10"/>
  <c r="U600" i="10"/>
  <c r="L601" i="10"/>
  <c r="O601" i="10" s="1"/>
  <c r="M601" i="10"/>
  <c r="N601" i="10"/>
  <c r="P601" i="10"/>
  <c r="Q601" i="10"/>
  <c r="T601" i="10" s="1"/>
  <c r="R601" i="10"/>
  <c r="U601" i="10" s="1"/>
  <c r="S601" i="10"/>
  <c r="L602" i="10"/>
  <c r="O602" i="10" s="1"/>
  <c r="M602" i="10"/>
  <c r="P602" i="10" s="1"/>
  <c r="N602" i="10"/>
  <c r="Q602" i="10"/>
  <c r="T602" i="10" s="1"/>
  <c r="R602" i="10"/>
  <c r="U602" i="10" s="1"/>
  <c r="S602" i="10"/>
  <c r="O603" i="10"/>
  <c r="P603" i="10"/>
  <c r="T603" i="10"/>
  <c r="U603" i="10"/>
  <c r="O604" i="10"/>
  <c r="P604" i="10"/>
  <c r="T604" i="10"/>
  <c r="U604" i="10"/>
  <c r="L605" i="10"/>
  <c r="O605" i="10" s="1"/>
  <c r="M605" i="10"/>
  <c r="P605" i="10" s="1"/>
  <c r="N605" i="10"/>
  <c r="Q605" i="10"/>
  <c r="T605" i="10" s="1"/>
  <c r="R605" i="10"/>
  <c r="U605" i="10" s="1"/>
  <c r="S605" i="10"/>
  <c r="O606" i="10"/>
  <c r="P606" i="10"/>
  <c r="T606" i="10"/>
  <c r="U606" i="10"/>
  <c r="O607" i="10"/>
  <c r="P607" i="10"/>
  <c r="T607" i="10"/>
  <c r="U607" i="10"/>
  <c r="N616" i="10"/>
  <c r="L617" i="10"/>
  <c r="M617" i="10"/>
  <c r="P617" i="10" s="1"/>
  <c r="N617" i="10"/>
  <c r="Q617" i="10"/>
  <c r="R617" i="10"/>
  <c r="S617" i="10"/>
  <c r="L618" i="10"/>
  <c r="O618" i="10" s="1"/>
  <c r="M618" i="10"/>
  <c r="P618" i="10" s="1"/>
  <c r="N618" i="10"/>
  <c r="L619" i="10"/>
  <c r="M619" i="10"/>
  <c r="N619" i="10"/>
  <c r="O619" i="10"/>
  <c r="P619" i="10"/>
  <c r="O620" i="10"/>
  <c r="P620" i="10"/>
  <c r="T620" i="10"/>
  <c r="U620" i="10"/>
  <c r="O621" i="10"/>
  <c r="P621" i="10"/>
  <c r="Q621" i="10"/>
  <c r="Q619" i="10" s="1"/>
  <c r="R621" i="10"/>
  <c r="R619" i="10" s="1"/>
  <c r="S621" i="10"/>
  <c r="S618" i="10" s="1"/>
  <c r="S616" i="10" s="1"/>
  <c r="L622" i="10"/>
  <c r="O622" i="10" s="1"/>
  <c r="M622" i="10"/>
  <c r="P622" i="10" s="1"/>
  <c r="N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K632" i="10" s="1"/>
  <c r="I627" i="10"/>
  <c r="K627" i="10" s="1"/>
  <c r="I628" i="10"/>
  <c r="K628" i="10" s="1"/>
  <c r="J632" i="10"/>
  <c r="J626" i="10" s="1"/>
  <c r="J615" i="10" s="1"/>
  <c r="I635" i="10"/>
  <c r="K635" i="10" s="1"/>
  <c r="J635" i="10"/>
  <c r="J636" i="10"/>
  <c r="L643" i="10"/>
  <c r="O643" i="10" s="1"/>
  <c r="M643" i="10"/>
  <c r="P643" i="10" s="1"/>
  <c r="N643" i="10"/>
  <c r="N642" i="10" s="1"/>
  <c r="Q643" i="10"/>
  <c r="R643" i="10"/>
  <c r="U643" i="10" s="1"/>
  <c r="S643" i="10"/>
  <c r="T643" i="10"/>
  <c r="L644" i="10"/>
  <c r="O644" i="10" s="1"/>
  <c r="M644" i="10"/>
  <c r="N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5" i="10" s="1"/>
  <c r="T645" i="10" s="1"/>
  <c r="R647" i="10"/>
  <c r="R644" i="10" s="1"/>
  <c r="S647" i="10"/>
  <c r="L648" i="10"/>
  <c r="O648" i="10" s="1"/>
  <c r="M648" i="10"/>
  <c r="N648" i="10"/>
  <c r="P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L690" i="10" s="1"/>
  <c r="O690" i="10" s="1"/>
  <c r="M691" i="10"/>
  <c r="N691" i="10"/>
  <c r="Q691" i="10"/>
  <c r="R691" i="10"/>
  <c r="S691" i="10"/>
  <c r="U691" i="10"/>
  <c r="L692" i="10"/>
  <c r="M692" i="10"/>
  <c r="P692" i="10" s="1"/>
  <c r="N692" i="10"/>
  <c r="O692" i="10"/>
  <c r="L693" i="10"/>
  <c r="M693" i="10"/>
  <c r="P693" i="10" s="1"/>
  <c r="N693" i="10"/>
  <c r="O693" i="10"/>
  <c r="O694" i="10"/>
  <c r="P694" i="10"/>
  <c r="T694" i="10"/>
  <c r="U694" i="10"/>
  <c r="O695" i="10"/>
  <c r="P695" i="10"/>
  <c r="Q695" i="10"/>
  <c r="R695" i="10"/>
  <c r="R692" i="10" s="1"/>
  <c r="U692" i="10" s="1"/>
  <c r="S695" i="10"/>
  <c r="S692" i="10" s="1"/>
  <c r="L696" i="10"/>
  <c r="O696" i="10" s="1"/>
  <c r="M696" i="10"/>
  <c r="P696" i="10" s="1"/>
  <c r="N696" i="10"/>
  <c r="Q696" i="10"/>
  <c r="R696" i="10"/>
  <c r="U696" i="10" s="1"/>
  <c r="S696" i="10"/>
  <c r="T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K705" i="10" s="1"/>
  <c r="J705" i="10"/>
  <c r="J706" i="10"/>
  <c r="K706" i="10"/>
  <c r="I707" i="10"/>
  <c r="I689" i="10" s="1"/>
  <c r="K689" i="10" s="1"/>
  <c r="J707" i="10"/>
  <c r="J689" i="10" s="1"/>
  <c r="J708" i="10"/>
  <c r="K708" i="10"/>
  <c r="I709" i="10"/>
  <c r="K709" i="10" s="1"/>
  <c r="J709" i="10"/>
  <c r="J710" i="10"/>
  <c r="K710" i="10"/>
  <c r="J712" i="10"/>
  <c r="K712" i="10"/>
  <c r="L715" i="10"/>
  <c r="L714" i="10" s="1"/>
  <c r="O714" i="10" s="1"/>
  <c r="M715" i="10"/>
  <c r="N715" i="10"/>
  <c r="O715" i="10"/>
  <c r="Q715" i="10"/>
  <c r="R715" i="10"/>
  <c r="S715" i="10"/>
  <c r="S714" i="10" s="1"/>
  <c r="U715" i="10"/>
  <c r="L716" i="10"/>
  <c r="O716" i="10" s="1"/>
  <c r="M716" i="10"/>
  <c r="P716" i="10" s="1"/>
  <c r="N716" i="10"/>
  <c r="N714" i="10" s="1"/>
  <c r="Q716" i="10"/>
  <c r="T716" i="10" s="1"/>
  <c r="R716" i="10"/>
  <c r="S716" i="10"/>
  <c r="U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M720" i="10"/>
  <c r="P720" i="10" s="1"/>
  <c r="N720" i="10"/>
  <c r="O720" i="10"/>
  <c r="Q720" i="10"/>
  <c r="T720" i="10" s="1"/>
  <c r="R720" i="10"/>
  <c r="S720" i="10"/>
  <c r="U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M729" i="10"/>
  <c r="M728" i="10" s="1"/>
  <c r="P728" i="10" s="1"/>
  <c r="N729" i="10"/>
  <c r="N728" i="10" s="1"/>
  <c r="O729" i="10"/>
  <c r="Q729" i="10"/>
  <c r="T729" i="10" s="1"/>
  <c r="R729" i="10"/>
  <c r="S729" i="10"/>
  <c r="U729" i="10"/>
  <c r="L730" i="10"/>
  <c r="O730" i="10" s="1"/>
  <c r="M730" i="10"/>
  <c r="P730" i="10" s="1"/>
  <c r="N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R733" i="10"/>
  <c r="R731" i="10" s="1"/>
  <c r="S733" i="10"/>
  <c r="S731" i="10" s="1"/>
  <c r="L734" i="10"/>
  <c r="O734" i="10" s="1"/>
  <c r="M734" i="10"/>
  <c r="P734" i="10" s="1"/>
  <c r="N734" i="10"/>
  <c r="Q734" i="10"/>
  <c r="R734" i="10"/>
  <c r="U734" i="10" s="1"/>
  <c r="S734" i="10"/>
  <c r="T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N761" i="10"/>
  <c r="N760" i="10" s="1"/>
  <c r="Q761" i="10"/>
  <c r="R761" i="10"/>
  <c r="U761" i="10" s="1"/>
  <c r="S761" i="10"/>
  <c r="T761" i="10"/>
  <c r="L762" i="10"/>
  <c r="O762" i="10" s="1"/>
  <c r="M762" i="10"/>
  <c r="P762" i="10" s="1"/>
  <c r="N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2" i="10" s="1"/>
  <c r="R765" i="10"/>
  <c r="S765" i="10"/>
  <c r="S763" i="10" s="1"/>
  <c r="L766" i="10"/>
  <c r="M766" i="10"/>
  <c r="P766" i="10" s="1"/>
  <c r="N766" i="10"/>
  <c r="O766" i="10"/>
  <c r="Q766" i="10"/>
  <c r="T766" i="10" s="1"/>
  <c r="R766" i="10"/>
  <c r="S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M22" i="9"/>
  <c r="N22" i="9"/>
  <c r="N19" i="9" s="1"/>
  <c r="Q22" i="9"/>
  <c r="R22" i="9"/>
  <c r="S22" i="9"/>
  <c r="T22" i="9"/>
  <c r="L25" i="9"/>
  <c r="L19" i="9" s="1"/>
  <c r="M25" i="9"/>
  <c r="N25" i="9"/>
  <c r="Q25" i="9"/>
  <c r="R25" i="9"/>
  <c r="S25" i="9"/>
  <c r="Q26" i="9"/>
  <c r="R26" i="9"/>
  <c r="U26" i="9" s="1"/>
  <c r="S26" i="9"/>
  <c r="T26" i="9"/>
  <c r="L45" i="9"/>
  <c r="O45" i="9" s="1"/>
  <c r="M45" i="9"/>
  <c r="N45" i="9"/>
  <c r="Q45" i="9"/>
  <c r="Q44" i="9" s="1"/>
  <c r="T44" i="9" s="1"/>
  <c r="R45" i="9"/>
  <c r="R44" i="9" s="1"/>
  <c r="U44" i="9" s="1"/>
  <c r="S45" i="9"/>
  <c r="S44" i="9" s="1"/>
  <c r="T45" i="9"/>
  <c r="U45" i="9"/>
  <c r="Q46" i="9"/>
  <c r="T46" i="9" s="1"/>
  <c r="R46" i="9"/>
  <c r="U46" i="9" s="1"/>
  <c r="S46" i="9"/>
  <c r="Q47" i="9"/>
  <c r="T47" i="9" s="1"/>
  <c r="R47" i="9"/>
  <c r="U47" i="9" s="1"/>
  <c r="S47" i="9"/>
  <c r="O48" i="9"/>
  <c r="P48" i="9"/>
  <c r="T48" i="9"/>
  <c r="U48" i="9"/>
  <c r="L49" i="9"/>
  <c r="M49" i="9"/>
  <c r="M47" i="9" s="1"/>
  <c r="N49" i="9"/>
  <c r="T49" i="9"/>
  <c r="U49" i="9"/>
  <c r="Q50" i="9"/>
  <c r="T50" i="9" s="1"/>
  <c r="R50" i="9"/>
  <c r="U50" i="9" s="1"/>
  <c r="S50" i="9"/>
  <c r="O51" i="9"/>
  <c r="P51" i="9"/>
  <c r="T51" i="9"/>
  <c r="U51" i="9"/>
  <c r="L52" i="9"/>
  <c r="M52" i="9"/>
  <c r="N52" i="9"/>
  <c r="N50" i="9" s="1"/>
  <c r="T52" i="9"/>
  <c r="U52" i="9"/>
  <c r="L60" i="9"/>
  <c r="M60" i="9"/>
  <c r="N60" i="9"/>
  <c r="O60" i="9"/>
  <c r="Q60" i="9"/>
  <c r="Q59" i="9" s="1"/>
  <c r="T59" i="9" s="1"/>
  <c r="R60" i="9"/>
  <c r="R59" i="9" s="1"/>
  <c r="U59" i="9" s="1"/>
  <c r="S60" i="9"/>
  <c r="S59" i="9" s="1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T64" i="9"/>
  <c r="U64" i="9"/>
  <c r="Q65" i="9"/>
  <c r="R65" i="9"/>
  <c r="S65" i="9"/>
  <c r="T65" i="9"/>
  <c r="U65" i="9"/>
  <c r="O66" i="9"/>
  <c r="P66" i="9"/>
  <c r="T66" i="9"/>
  <c r="U66" i="9"/>
  <c r="L67" i="9"/>
  <c r="M67" i="9"/>
  <c r="N67" i="9"/>
  <c r="N65" i="9" s="1"/>
  <c r="T67" i="9"/>
  <c r="U67" i="9"/>
  <c r="L73" i="9"/>
  <c r="M73" i="9"/>
  <c r="N73" i="9"/>
  <c r="O73" i="9"/>
  <c r="Q73" i="9"/>
  <c r="T73" i="9" s="1"/>
  <c r="R73" i="9"/>
  <c r="S73" i="9"/>
  <c r="O76" i="9"/>
  <c r="P76" i="9"/>
  <c r="T76" i="9"/>
  <c r="U76" i="9"/>
  <c r="L77" i="9"/>
  <c r="M77" i="9"/>
  <c r="M75" i="9" s="1"/>
  <c r="N77" i="9"/>
  <c r="Q77" i="9"/>
  <c r="R77" i="9"/>
  <c r="R74" i="9" s="1"/>
  <c r="S77" i="9"/>
  <c r="S75" i="9" s="1"/>
  <c r="Q78" i="9"/>
  <c r="T78" i="9" s="1"/>
  <c r="R78" i="9"/>
  <c r="U78" i="9" s="1"/>
  <c r="S78" i="9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T80" i="9"/>
  <c r="U80" i="9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N95" i="9"/>
  <c r="O95" i="9"/>
  <c r="P95" i="9"/>
  <c r="Q95" i="9"/>
  <c r="T95" i="9" s="1"/>
  <c r="R95" i="9"/>
  <c r="S95" i="9"/>
  <c r="U95" i="9"/>
  <c r="O98" i="9"/>
  <c r="P98" i="9"/>
  <c r="T98" i="9"/>
  <c r="U98" i="9"/>
  <c r="L99" i="9"/>
  <c r="L97" i="9" s="1"/>
  <c r="O97" i="9" s="1"/>
  <c r="M99" i="9"/>
  <c r="N99" i="9"/>
  <c r="N97" i="9" s="1"/>
  <c r="Q99" i="9"/>
  <c r="R99" i="9"/>
  <c r="R96" i="9" s="1"/>
  <c r="R94" i="9" s="1"/>
  <c r="S99" i="9"/>
  <c r="S96" i="9" s="1"/>
  <c r="Q100" i="9"/>
  <c r="T100" i="9" s="1"/>
  <c r="R100" i="9"/>
  <c r="U100" i="9" s="1"/>
  <c r="S100" i="9"/>
  <c r="O101" i="9"/>
  <c r="P101" i="9"/>
  <c r="T101" i="9"/>
  <c r="U101" i="9"/>
  <c r="L102" i="9"/>
  <c r="O102" i="9" s="1"/>
  <c r="M102" i="9"/>
  <c r="M100" i="9" s="1"/>
  <c r="P100" i="9" s="1"/>
  <c r="N102" i="9"/>
  <c r="N100" i="9" s="1"/>
  <c r="T102" i="9"/>
  <c r="U102" i="9"/>
  <c r="I108" i="9"/>
  <c r="K108" i="9" s="1"/>
  <c r="I109" i="9"/>
  <c r="I93" i="9" s="1"/>
  <c r="K93" i="9" s="1"/>
  <c r="I113" i="9"/>
  <c r="K113" i="9" s="1"/>
  <c r="I114" i="9"/>
  <c r="K114" i="9" s="1"/>
  <c r="J116" i="9"/>
  <c r="L118" i="9"/>
  <c r="M118" i="9"/>
  <c r="N118" i="9"/>
  <c r="Q118" i="9"/>
  <c r="T118" i="9" s="1"/>
  <c r="R118" i="9"/>
  <c r="S118" i="9"/>
  <c r="O121" i="9"/>
  <c r="P121" i="9"/>
  <c r="T121" i="9"/>
  <c r="U121" i="9"/>
  <c r="L122" i="9"/>
  <c r="M122" i="9"/>
  <c r="M120" i="9" s="1"/>
  <c r="P120" i="9" s="1"/>
  <c r="N122" i="9"/>
  <c r="Q122" i="9"/>
  <c r="Q119" i="9" s="1"/>
  <c r="R122" i="9"/>
  <c r="S122" i="9"/>
  <c r="S119" i="9" s="1"/>
  <c r="Q123" i="9"/>
  <c r="T123" i="9" s="1"/>
  <c r="R123" i="9"/>
  <c r="U123" i="9" s="1"/>
  <c r="S123" i="9"/>
  <c r="O124" i="9"/>
  <c r="P124" i="9"/>
  <c r="T124" i="9"/>
  <c r="U124" i="9"/>
  <c r="L125" i="9"/>
  <c r="L123" i="9" s="1"/>
  <c r="O123" i="9" s="1"/>
  <c r="M125" i="9"/>
  <c r="P125" i="9" s="1"/>
  <c r="N125" i="9"/>
  <c r="N123" i="9" s="1"/>
  <c r="T125" i="9"/>
  <c r="U125" i="9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N140" i="9"/>
  <c r="P140" i="9"/>
  <c r="Q140" i="9"/>
  <c r="R140" i="9"/>
  <c r="S140" i="9"/>
  <c r="U140" i="9"/>
  <c r="O143" i="9"/>
  <c r="P143" i="9"/>
  <c r="T143" i="9"/>
  <c r="U143" i="9"/>
  <c r="L144" i="9"/>
  <c r="M144" i="9"/>
  <c r="N144" i="9"/>
  <c r="Q144" i="9"/>
  <c r="T144" i="9" s="1"/>
  <c r="R144" i="9"/>
  <c r="R142" i="9" s="1"/>
  <c r="U142" i="9" s="1"/>
  <c r="S144" i="9"/>
  <c r="Q145" i="9"/>
  <c r="R145" i="9"/>
  <c r="S145" i="9"/>
  <c r="T145" i="9"/>
  <c r="U145" i="9"/>
  <c r="O146" i="9"/>
  <c r="P146" i="9"/>
  <c r="T146" i="9"/>
  <c r="U146" i="9"/>
  <c r="L147" i="9"/>
  <c r="M147" i="9"/>
  <c r="N147" i="9"/>
  <c r="N145" i="9" s="1"/>
  <c r="T147" i="9"/>
  <c r="U147" i="9"/>
  <c r="I150" i="9"/>
  <c r="K150" i="9" s="1"/>
  <c r="I151" i="9"/>
  <c r="K151" i="9" s="1"/>
  <c r="I152" i="9"/>
  <c r="I137" i="9" s="1"/>
  <c r="K137" i="9" s="1"/>
  <c r="I153" i="9"/>
  <c r="K153" i="9" s="1"/>
  <c r="I154" i="9"/>
  <c r="J156" i="9"/>
  <c r="L158" i="9"/>
  <c r="M158" i="9"/>
  <c r="P158" i="9" s="1"/>
  <c r="N158" i="9"/>
  <c r="Q158" i="9"/>
  <c r="T158" i="9" s="1"/>
  <c r="R158" i="9"/>
  <c r="S158" i="9"/>
  <c r="O161" i="9"/>
  <c r="P161" i="9"/>
  <c r="T161" i="9"/>
  <c r="U161" i="9"/>
  <c r="L162" i="9"/>
  <c r="L160" i="9" s="1"/>
  <c r="O160" i="9" s="1"/>
  <c r="M162" i="9"/>
  <c r="P162" i="9" s="1"/>
  <c r="N162" i="9"/>
  <c r="Q162" i="9"/>
  <c r="R162" i="9"/>
  <c r="S162" i="9"/>
  <c r="S159" i="9" s="1"/>
  <c r="Q163" i="9"/>
  <c r="T163" i="9" s="1"/>
  <c r="R163" i="9"/>
  <c r="U163" i="9" s="1"/>
  <c r="S163" i="9"/>
  <c r="O164" i="9"/>
  <c r="P164" i="9"/>
  <c r="T164" i="9"/>
  <c r="U164" i="9"/>
  <c r="L165" i="9"/>
  <c r="L163" i="9" s="1"/>
  <c r="O163" i="9" s="1"/>
  <c r="M165" i="9"/>
  <c r="P165" i="9" s="1"/>
  <c r="N165" i="9"/>
  <c r="T165" i="9"/>
  <c r="U165" i="9"/>
  <c r="I167" i="9"/>
  <c r="K167" i="9" s="1"/>
  <c r="I168" i="9"/>
  <c r="K168" i="9" s="1"/>
  <c r="I169" i="9"/>
  <c r="J172" i="9"/>
  <c r="L174" i="9"/>
  <c r="O174" i="9" s="1"/>
  <c r="M174" i="9"/>
  <c r="P174" i="9" s="1"/>
  <c r="N174" i="9"/>
  <c r="Q174" i="9"/>
  <c r="T174" i="9" s="1"/>
  <c r="R174" i="9"/>
  <c r="U174" i="9" s="1"/>
  <c r="S174" i="9"/>
  <c r="O177" i="9"/>
  <c r="P177" i="9"/>
  <c r="T177" i="9"/>
  <c r="U177" i="9"/>
  <c r="L178" i="9"/>
  <c r="L176" i="9" s="1"/>
  <c r="O176" i="9" s="1"/>
  <c r="M178" i="9"/>
  <c r="N178" i="9"/>
  <c r="N176" i="9" s="1"/>
  <c r="Q178" i="9"/>
  <c r="Q175" i="9" s="1"/>
  <c r="T175" i="9" s="1"/>
  <c r="R178" i="9"/>
  <c r="R176" i="9" s="1"/>
  <c r="U176" i="9" s="1"/>
  <c r="S178" i="9"/>
  <c r="Q179" i="9"/>
  <c r="T179" i="9" s="1"/>
  <c r="R179" i="9"/>
  <c r="S179" i="9"/>
  <c r="U179" i="9"/>
  <c r="O180" i="9"/>
  <c r="P180" i="9"/>
  <c r="T180" i="9"/>
  <c r="U180" i="9"/>
  <c r="L181" i="9"/>
  <c r="M181" i="9"/>
  <c r="P181" i="9" s="1"/>
  <c r="N181" i="9"/>
  <c r="N179" i="9" s="1"/>
  <c r="T181" i="9"/>
  <c r="U181" i="9"/>
  <c r="I183" i="9"/>
  <c r="K184" i="9"/>
  <c r="L187" i="9"/>
  <c r="O187" i="9" s="1"/>
  <c r="M187" i="9"/>
  <c r="N187" i="9"/>
  <c r="P187" i="9"/>
  <c r="Q187" i="9"/>
  <c r="R187" i="9"/>
  <c r="S187" i="9"/>
  <c r="T187" i="9"/>
  <c r="O190" i="9"/>
  <c r="P190" i="9"/>
  <c r="T190" i="9"/>
  <c r="U190" i="9"/>
  <c r="L191" i="9"/>
  <c r="L189" i="9" s="1"/>
  <c r="M191" i="9"/>
  <c r="M189" i="9" s="1"/>
  <c r="N191" i="9"/>
  <c r="N189" i="9" s="1"/>
  <c r="Q191" i="9"/>
  <c r="Q189" i="9" s="1"/>
  <c r="R191" i="9"/>
  <c r="S191" i="9"/>
  <c r="S188" i="9" s="1"/>
  <c r="S186" i="9" s="1"/>
  <c r="Q192" i="9"/>
  <c r="T192" i="9" s="1"/>
  <c r="R192" i="9"/>
  <c r="U192" i="9" s="1"/>
  <c r="S192" i="9"/>
  <c r="O193" i="9"/>
  <c r="P193" i="9"/>
  <c r="T193" i="9"/>
  <c r="U193" i="9"/>
  <c r="L194" i="9"/>
  <c r="M194" i="9"/>
  <c r="M192" i="9" s="1"/>
  <c r="P192" i="9" s="1"/>
  <c r="N194" i="9"/>
  <c r="N192" i="9" s="1"/>
  <c r="T194" i="9"/>
  <c r="U194" i="9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21" i="9" s="1"/>
  <c r="K221" i="9" s="1"/>
  <c r="I230" i="9"/>
  <c r="K230" i="9" s="1"/>
  <c r="N233" i="9"/>
  <c r="N234" i="9"/>
  <c r="N235" i="9"/>
  <c r="N236" i="9"/>
  <c r="J238" i="9"/>
  <c r="I240" i="9"/>
  <c r="J240" i="9"/>
  <c r="K240" i="9"/>
  <c r="I241" i="9"/>
  <c r="J241" i="9"/>
  <c r="K241" i="9"/>
  <c r="J242" i="9"/>
  <c r="N243" i="9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Q267" i="9"/>
  <c r="R267" i="9"/>
  <c r="S267" i="9"/>
  <c r="T267" i="9"/>
  <c r="O270" i="9"/>
  <c r="P270" i="9"/>
  <c r="T270" i="9"/>
  <c r="U270" i="9"/>
  <c r="L271" i="9"/>
  <c r="L269" i="9" s="1"/>
  <c r="O269" i="9" s="1"/>
  <c r="M271" i="9"/>
  <c r="M269" i="9" s="1"/>
  <c r="N271" i="9"/>
  <c r="Q271" i="9"/>
  <c r="Q268" i="9" s="1"/>
  <c r="R271" i="9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L272" i="9" s="1"/>
  <c r="O272" i="9" s="1"/>
  <c r="M274" i="9"/>
  <c r="M272" i="9" s="1"/>
  <c r="P272" i="9" s="1"/>
  <c r="N274" i="9"/>
  <c r="N272" i="9" s="1"/>
  <c r="T274" i="9"/>
  <c r="U274" i="9"/>
  <c r="I276" i="9"/>
  <c r="I265" i="9" s="1"/>
  <c r="K265" i="9" s="1"/>
  <c r="J281" i="9"/>
  <c r="L283" i="9"/>
  <c r="O283" i="9" s="1"/>
  <c r="M283" i="9"/>
  <c r="N283" i="9"/>
  <c r="P283" i="9"/>
  <c r="Q283" i="9"/>
  <c r="R283" i="9"/>
  <c r="S283" i="9"/>
  <c r="U283" i="9"/>
  <c r="Q284" i="9"/>
  <c r="T284" i="9" s="1"/>
  <c r="R284" i="9"/>
  <c r="S284" i="9"/>
  <c r="Q285" i="9"/>
  <c r="R285" i="9"/>
  <c r="U285" i="9" s="1"/>
  <c r="S285" i="9"/>
  <c r="T285" i="9"/>
  <c r="O286" i="9"/>
  <c r="P286" i="9"/>
  <c r="T286" i="9"/>
  <c r="U286" i="9"/>
  <c r="L287" i="9"/>
  <c r="L285" i="9" s="1"/>
  <c r="O285" i="9" s="1"/>
  <c r="M287" i="9"/>
  <c r="M285" i="9" s="1"/>
  <c r="P285" i="9" s="1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M288" i="9" s="1"/>
  <c r="P288" i="9" s="1"/>
  <c r="N290" i="9"/>
  <c r="N288" i="9" s="1"/>
  <c r="T290" i="9"/>
  <c r="U290" i="9"/>
  <c r="I292" i="9"/>
  <c r="K292" i="9" s="1"/>
  <c r="I293" i="9"/>
  <c r="K293" i="9" s="1"/>
  <c r="J293" i="9"/>
  <c r="J280" i="9" s="1"/>
  <c r="I295" i="9"/>
  <c r="K295" i="9" s="1"/>
  <c r="I296" i="9"/>
  <c r="K296" i="9" s="1"/>
  <c r="J302" i="9"/>
  <c r="L304" i="9"/>
  <c r="M304" i="9"/>
  <c r="P304" i="9" s="1"/>
  <c r="N304" i="9"/>
  <c r="O304" i="9"/>
  <c r="Q304" i="9"/>
  <c r="R304" i="9"/>
  <c r="S304" i="9"/>
  <c r="U304" i="9"/>
  <c r="O307" i="9"/>
  <c r="P307" i="9"/>
  <c r="T307" i="9"/>
  <c r="U307" i="9"/>
  <c r="L308" i="9"/>
  <c r="L306" i="9" s="1"/>
  <c r="M308" i="9"/>
  <c r="M306" i="9" s="1"/>
  <c r="N308" i="9"/>
  <c r="N306" i="9" s="1"/>
  <c r="Q308" i="9"/>
  <c r="R308" i="9"/>
  <c r="R305" i="9" s="1"/>
  <c r="R303" i="9" s="1"/>
  <c r="S308" i="9"/>
  <c r="S305" i="9" s="1"/>
  <c r="Q309" i="9"/>
  <c r="T309" i="9" s="1"/>
  <c r="R309" i="9"/>
  <c r="U309" i="9" s="1"/>
  <c r="S309" i="9"/>
  <c r="O310" i="9"/>
  <c r="P310" i="9"/>
  <c r="T310" i="9"/>
  <c r="U310" i="9"/>
  <c r="L311" i="9"/>
  <c r="O311" i="9" s="1"/>
  <c r="M311" i="9"/>
  <c r="N311" i="9"/>
  <c r="N309" i="9" s="1"/>
  <c r="T311" i="9"/>
  <c r="U311" i="9"/>
  <c r="I314" i="9"/>
  <c r="J319" i="9"/>
  <c r="L321" i="9"/>
  <c r="M321" i="9"/>
  <c r="P321" i="9" s="1"/>
  <c r="N321" i="9"/>
  <c r="Q321" i="9"/>
  <c r="R321" i="9"/>
  <c r="U321" i="9" s="1"/>
  <c r="S321" i="9"/>
  <c r="T321" i="9"/>
  <c r="Q322" i="9"/>
  <c r="T322" i="9" s="1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O325" i="9" s="1"/>
  <c r="M325" i="9"/>
  <c r="M323" i="9" s="1"/>
  <c r="P323" i="9" s="1"/>
  <c r="N325" i="9"/>
  <c r="N323" i="9" s="1"/>
  <c r="T325" i="9"/>
  <c r="U325" i="9"/>
  <c r="Q326" i="9"/>
  <c r="R326" i="9"/>
  <c r="U326" i="9" s="1"/>
  <c r="S326" i="9"/>
  <c r="T326" i="9"/>
  <c r="O327" i="9"/>
  <c r="P327" i="9"/>
  <c r="T327" i="9"/>
  <c r="U327" i="9"/>
  <c r="L328" i="9"/>
  <c r="O328" i="9" s="1"/>
  <c r="M328" i="9"/>
  <c r="M326" i="9" s="1"/>
  <c r="P326" i="9" s="1"/>
  <c r="N328" i="9"/>
  <c r="N326" i="9" s="1"/>
  <c r="T328" i="9"/>
  <c r="U328" i="9"/>
  <c r="I330" i="9"/>
  <c r="I319" i="9" s="1"/>
  <c r="K319" i="9" s="1"/>
  <c r="L334" i="9"/>
  <c r="M334" i="9"/>
  <c r="N334" i="9"/>
  <c r="O334" i="9"/>
  <c r="P334" i="9"/>
  <c r="Q334" i="9"/>
  <c r="R334" i="9"/>
  <c r="R333" i="9" s="1"/>
  <c r="U333" i="9" s="1"/>
  <c r="S334" i="9"/>
  <c r="S333" i="9" s="1"/>
  <c r="T334" i="9"/>
  <c r="U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M336" i="9" s="1"/>
  <c r="N338" i="9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O341" i="9" s="1"/>
  <c r="M341" i="9"/>
  <c r="P341" i="9" s="1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D354" i="9"/>
  <c r="L357" i="9"/>
  <c r="M357" i="9"/>
  <c r="N357" i="9"/>
  <c r="O357" i="9"/>
  <c r="Q357" i="9"/>
  <c r="T357" i="9" s="1"/>
  <c r="R357" i="9"/>
  <c r="U357" i="9" s="1"/>
  <c r="S357" i="9"/>
  <c r="Q358" i="9"/>
  <c r="T358" i="9" s="1"/>
  <c r="R358" i="9"/>
  <c r="U358" i="9" s="1"/>
  <c r="S358" i="9"/>
  <c r="S356" i="9" s="1"/>
  <c r="Q359" i="9"/>
  <c r="T359" i="9" s="1"/>
  <c r="R359" i="9"/>
  <c r="S359" i="9"/>
  <c r="U359" i="9"/>
  <c r="O360" i="9"/>
  <c r="P360" i="9"/>
  <c r="T360" i="9"/>
  <c r="U360" i="9"/>
  <c r="L361" i="9"/>
  <c r="M361" i="9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72" i="9"/>
  <c r="K372" i="9"/>
  <c r="D373" i="9"/>
  <c r="J374" i="9"/>
  <c r="L376" i="9"/>
  <c r="M376" i="9"/>
  <c r="P376" i="9" s="1"/>
  <c r="N376" i="9"/>
  <c r="Q376" i="9"/>
  <c r="T376" i="9" s="1"/>
  <c r="R376" i="9"/>
  <c r="S376" i="9"/>
  <c r="L377" i="9"/>
  <c r="O377" i="9" s="1"/>
  <c r="M377" i="9"/>
  <c r="P377" i="9" s="1"/>
  <c r="N377" i="9"/>
  <c r="N375" i="9" s="1"/>
  <c r="L378" i="9"/>
  <c r="M378" i="9"/>
  <c r="N378" i="9"/>
  <c r="O378" i="9"/>
  <c r="P378" i="9"/>
  <c r="O379" i="9"/>
  <c r="P379" i="9"/>
  <c r="T379" i="9"/>
  <c r="U379" i="9"/>
  <c r="O380" i="9"/>
  <c r="P380" i="9"/>
  <c r="Q380" i="9"/>
  <c r="Q378" i="9" s="1"/>
  <c r="T378" i="9" s="1"/>
  <c r="R380" i="9"/>
  <c r="R378" i="9" s="1"/>
  <c r="U378" i="9" s="1"/>
  <c r="S380" i="9"/>
  <c r="S377" i="9" s="1"/>
  <c r="L381" i="9"/>
  <c r="O381" i="9" s="1"/>
  <c r="M381" i="9"/>
  <c r="P381" i="9" s="1"/>
  <c r="N381" i="9"/>
  <c r="Q381" i="9"/>
  <c r="R381" i="9"/>
  <c r="U381" i="9" s="1"/>
  <c r="S381" i="9"/>
  <c r="T381" i="9"/>
  <c r="O382" i="9"/>
  <c r="P382" i="9"/>
  <c r="T382" i="9"/>
  <c r="U382" i="9"/>
  <c r="O383" i="9"/>
  <c r="P383" i="9"/>
  <c r="T383" i="9"/>
  <c r="U383" i="9"/>
  <c r="I385" i="9"/>
  <c r="I374" i="9" s="1"/>
  <c r="K374" i="9" s="1"/>
  <c r="I386" i="9"/>
  <c r="K386" i="9" s="1"/>
  <c r="K387" i="9"/>
  <c r="K388" i="9"/>
  <c r="I391" i="9"/>
  <c r="K391" i="9" s="1"/>
  <c r="J391" i="9"/>
  <c r="L393" i="9"/>
  <c r="M393" i="9"/>
  <c r="P393" i="9" s="1"/>
  <c r="N393" i="9"/>
  <c r="Q393" i="9"/>
  <c r="T393" i="9" s="1"/>
  <c r="R393" i="9"/>
  <c r="S393" i="9"/>
  <c r="S392" i="9" s="1"/>
  <c r="U393" i="9"/>
  <c r="L394" i="9"/>
  <c r="M394" i="9"/>
  <c r="P394" i="9" s="1"/>
  <c r="N394" i="9"/>
  <c r="O394" i="9"/>
  <c r="Q394" i="9"/>
  <c r="R394" i="9"/>
  <c r="U394" i="9" s="1"/>
  <c r="S394" i="9"/>
  <c r="L395" i="9"/>
  <c r="M395" i="9"/>
  <c r="P395" i="9" s="1"/>
  <c r="N395" i="9"/>
  <c r="O395" i="9"/>
  <c r="Q395" i="9"/>
  <c r="T395" i="9" s="1"/>
  <c r="R395" i="9"/>
  <c r="U395" i="9" s="1"/>
  <c r="S395" i="9"/>
  <c r="O396" i="9"/>
  <c r="P396" i="9"/>
  <c r="T396" i="9"/>
  <c r="U396" i="9"/>
  <c r="O397" i="9"/>
  <c r="P397" i="9"/>
  <c r="T397" i="9"/>
  <c r="U397" i="9"/>
  <c r="L398" i="9"/>
  <c r="M398" i="9"/>
  <c r="N398" i="9"/>
  <c r="O398" i="9"/>
  <c r="P398" i="9"/>
  <c r="Q398" i="9"/>
  <c r="T398" i="9" s="1"/>
  <c r="R398" i="9"/>
  <c r="S398" i="9"/>
  <c r="U398" i="9"/>
  <c r="O399" i="9"/>
  <c r="P399" i="9"/>
  <c r="T399" i="9"/>
  <c r="U399" i="9"/>
  <c r="O400" i="9"/>
  <c r="P400" i="9"/>
  <c r="T400" i="9"/>
  <c r="U400" i="9"/>
  <c r="M413" i="9"/>
  <c r="P413" i="9" s="1"/>
  <c r="L414" i="9"/>
  <c r="M414" i="9"/>
  <c r="P414" i="9" s="1"/>
  <c r="N414" i="9"/>
  <c r="O414" i="9"/>
  <c r="Q414" i="9"/>
  <c r="R414" i="9"/>
  <c r="S414" i="9"/>
  <c r="T414" i="9"/>
  <c r="U414" i="9"/>
  <c r="L415" i="9"/>
  <c r="O415" i="9" s="1"/>
  <c r="M415" i="9"/>
  <c r="P415" i="9" s="1"/>
  <c r="N415" i="9"/>
  <c r="L416" i="9"/>
  <c r="O416" i="9" s="1"/>
  <c r="M416" i="9"/>
  <c r="P416" i="9" s="1"/>
  <c r="N416" i="9"/>
  <c r="O417" i="9"/>
  <c r="P417" i="9"/>
  <c r="T417" i="9"/>
  <c r="U417" i="9"/>
  <c r="O418" i="9"/>
  <c r="P418" i="9"/>
  <c r="Q418" i="9"/>
  <c r="R418" i="9"/>
  <c r="R416" i="9" s="1"/>
  <c r="U416" i="9" s="1"/>
  <c r="S418" i="9"/>
  <c r="S415" i="9" s="1"/>
  <c r="S413" i="9" s="1"/>
  <c r="L419" i="9"/>
  <c r="O419" i="9" s="1"/>
  <c r="M419" i="9"/>
  <c r="P419" i="9" s="1"/>
  <c r="N419" i="9"/>
  <c r="Q419" i="9"/>
  <c r="T419" i="9" s="1"/>
  <c r="R419" i="9"/>
  <c r="S419" i="9"/>
  <c r="U419" i="9"/>
  <c r="O420" i="9"/>
  <c r="P420" i="9"/>
  <c r="T420" i="9"/>
  <c r="U420" i="9"/>
  <c r="O421" i="9"/>
  <c r="P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J440" i="9"/>
  <c r="J423" i="9" s="1"/>
  <c r="J412" i="9" s="1"/>
  <c r="I441" i="9"/>
  <c r="K441" i="9" s="1"/>
  <c r="J446" i="9"/>
  <c r="J447" i="9"/>
  <c r="J441" i="9" s="1"/>
  <c r="I457" i="9"/>
  <c r="K457" i="9" s="1"/>
  <c r="I458" i="9"/>
  <c r="K458" i="9" s="1"/>
  <c r="J459" i="9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M493" i="9" s="1"/>
  <c r="P493" i="9" s="1"/>
  <c r="N494" i="9"/>
  <c r="Q494" i="9"/>
  <c r="R494" i="9"/>
  <c r="U494" i="9" s="1"/>
  <c r="S494" i="9"/>
  <c r="T494" i="9"/>
  <c r="L495" i="9"/>
  <c r="M495" i="9"/>
  <c r="P495" i="9" s="1"/>
  <c r="N495" i="9"/>
  <c r="L496" i="9"/>
  <c r="O496" i="9" s="1"/>
  <c r="M496" i="9"/>
  <c r="P496" i="9" s="1"/>
  <c r="N496" i="9"/>
  <c r="O497" i="9"/>
  <c r="P497" i="9"/>
  <c r="T497" i="9"/>
  <c r="U497" i="9"/>
  <c r="O498" i="9"/>
  <c r="P498" i="9"/>
  <c r="Q498" i="9"/>
  <c r="Q495" i="9" s="1"/>
  <c r="T495" i="9" s="1"/>
  <c r="R498" i="9"/>
  <c r="S498" i="9"/>
  <c r="L499" i="9"/>
  <c r="M499" i="9"/>
  <c r="P499" i="9" s="1"/>
  <c r="N499" i="9"/>
  <c r="O499" i="9"/>
  <c r="Q499" i="9"/>
  <c r="R499" i="9"/>
  <c r="S499" i="9"/>
  <c r="T499" i="9"/>
  <c r="U499" i="9"/>
  <c r="O500" i="9"/>
  <c r="P500" i="9"/>
  <c r="T500" i="9"/>
  <c r="U500" i="9"/>
  <c r="O501" i="9"/>
  <c r="P501" i="9"/>
  <c r="T501" i="9"/>
  <c r="U501" i="9"/>
  <c r="I503" i="9"/>
  <c r="I492" i="9" s="1"/>
  <c r="K492" i="9" s="1"/>
  <c r="I504" i="9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N514" i="9"/>
  <c r="P514" i="9"/>
  <c r="Q514" i="9"/>
  <c r="Q513" i="9" s="1"/>
  <c r="T513" i="9" s="1"/>
  <c r="R514" i="9"/>
  <c r="U514" i="9" s="1"/>
  <c r="S514" i="9"/>
  <c r="Q515" i="9"/>
  <c r="T515" i="9" s="1"/>
  <c r="R515" i="9"/>
  <c r="U515" i="9" s="1"/>
  <c r="S515" i="9"/>
  <c r="Q516" i="9"/>
  <c r="T516" i="9" s="1"/>
  <c r="R516" i="9"/>
  <c r="U516" i="9" s="1"/>
  <c r="S516" i="9"/>
  <c r="O517" i="9"/>
  <c r="P517" i="9"/>
  <c r="T517" i="9"/>
  <c r="U517" i="9"/>
  <c r="L518" i="9"/>
  <c r="O518" i="9" s="1"/>
  <c r="M518" i="9"/>
  <c r="M516" i="9" s="1"/>
  <c r="P516" i="9" s="1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P521" i="9" s="1"/>
  <c r="N521" i="9"/>
  <c r="N519" i="9" s="1"/>
  <c r="T521" i="9"/>
  <c r="U521" i="9"/>
  <c r="K523" i="9"/>
  <c r="K524" i="9"/>
  <c r="I533" i="9"/>
  <c r="K533" i="9" s="1"/>
  <c r="J533" i="9"/>
  <c r="M534" i="9"/>
  <c r="P534" i="9" s="1"/>
  <c r="S534" i="9"/>
  <c r="L535" i="9"/>
  <c r="M535" i="9"/>
  <c r="P535" i="9" s="1"/>
  <c r="N535" i="9"/>
  <c r="O535" i="9"/>
  <c r="Q535" i="9"/>
  <c r="T535" i="9" s="1"/>
  <c r="R535" i="9"/>
  <c r="S535" i="9"/>
  <c r="U535" i="9"/>
  <c r="L536" i="9"/>
  <c r="M536" i="9"/>
  <c r="P536" i="9" s="1"/>
  <c r="N536" i="9"/>
  <c r="O536" i="9"/>
  <c r="Q536" i="9"/>
  <c r="T536" i="9" s="1"/>
  <c r="R536" i="9"/>
  <c r="U536" i="9" s="1"/>
  <c r="S536" i="9"/>
  <c r="L537" i="9"/>
  <c r="O537" i="9" s="1"/>
  <c r="M537" i="9"/>
  <c r="P537" i="9" s="1"/>
  <c r="N537" i="9"/>
  <c r="Q537" i="9"/>
  <c r="R537" i="9"/>
  <c r="U537" i="9" s="1"/>
  <c r="S537" i="9"/>
  <c r="T537" i="9"/>
  <c r="O538" i="9"/>
  <c r="P538" i="9"/>
  <c r="T538" i="9"/>
  <c r="U538" i="9"/>
  <c r="O539" i="9"/>
  <c r="P539" i="9"/>
  <c r="T539" i="9"/>
  <c r="U539" i="9"/>
  <c r="L540" i="9"/>
  <c r="O540" i="9" s="1"/>
  <c r="M540" i="9"/>
  <c r="P540" i="9" s="1"/>
  <c r="N540" i="9"/>
  <c r="Q540" i="9"/>
  <c r="R540" i="9"/>
  <c r="S540" i="9"/>
  <c r="T540" i="9"/>
  <c r="U540" i="9"/>
  <c r="O541" i="9"/>
  <c r="P541" i="9"/>
  <c r="T541" i="9"/>
  <c r="U541" i="9"/>
  <c r="O542" i="9"/>
  <c r="P542" i="9"/>
  <c r="T542" i="9"/>
  <c r="U542" i="9"/>
  <c r="I554" i="9"/>
  <c r="J554" i="9"/>
  <c r="K554" i="9"/>
  <c r="L556" i="9"/>
  <c r="M556" i="9"/>
  <c r="P556" i="9" s="1"/>
  <c r="N556" i="9"/>
  <c r="Q556" i="9"/>
  <c r="T556" i="9" s="1"/>
  <c r="R556" i="9"/>
  <c r="S556" i="9"/>
  <c r="L557" i="9"/>
  <c r="O557" i="9" s="1"/>
  <c r="M557" i="9"/>
  <c r="N557" i="9"/>
  <c r="Q557" i="9"/>
  <c r="R557" i="9"/>
  <c r="U557" i="9" s="1"/>
  <c r="S557" i="9"/>
  <c r="T557" i="9"/>
  <c r="L558" i="9"/>
  <c r="O558" i="9" s="1"/>
  <c r="M558" i="9"/>
  <c r="N558" i="9"/>
  <c r="P558" i="9"/>
  <c r="Q558" i="9"/>
  <c r="T558" i="9" s="1"/>
  <c r="R558" i="9"/>
  <c r="U558" i="9" s="1"/>
  <c r="S558" i="9"/>
  <c r="O559" i="9"/>
  <c r="P559" i="9"/>
  <c r="T559" i="9"/>
  <c r="U559" i="9"/>
  <c r="O560" i="9"/>
  <c r="P560" i="9"/>
  <c r="T560" i="9"/>
  <c r="U560" i="9"/>
  <c r="L561" i="9"/>
  <c r="O561" i="9" s="1"/>
  <c r="M561" i="9"/>
  <c r="P561" i="9" s="1"/>
  <c r="N561" i="9"/>
  <c r="Q561" i="9"/>
  <c r="T561" i="9" s="1"/>
  <c r="R561" i="9"/>
  <c r="U561" i="9" s="1"/>
  <c r="S561" i="9"/>
  <c r="O562" i="9"/>
  <c r="P562" i="9"/>
  <c r="T562" i="9"/>
  <c r="U562" i="9"/>
  <c r="O563" i="9"/>
  <c r="P563" i="9"/>
  <c r="T563" i="9"/>
  <c r="U563" i="9"/>
  <c r="I575" i="9"/>
  <c r="K575" i="9" s="1"/>
  <c r="J575" i="9"/>
  <c r="S576" i="9"/>
  <c r="L577" i="9"/>
  <c r="L576" i="9" s="1"/>
  <c r="O576" i="9" s="1"/>
  <c r="M577" i="9"/>
  <c r="N577" i="9"/>
  <c r="P577" i="9"/>
  <c r="Q577" i="9"/>
  <c r="R577" i="9"/>
  <c r="R576" i="9" s="1"/>
  <c r="U576" i="9" s="1"/>
  <c r="S577" i="9"/>
  <c r="L578" i="9"/>
  <c r="O578" i="9" s="1"/>
  <c r="M578" i="9"/>
  <c r="P578" i="9" s="1"/>
  <c r="N578" i="9"/>
  <c r="N576" i="9" s="1"/>
  <c r="Q578" i="9"/>
  <c r="T578" i="9" s="1"/>
  <c r="R578" i="9"/>
  <c r="U578" i="9" s="1"/>
  <c r="S578" i="9"/>
  <c r="L579" i="9"/>
  <c r="M579" i="9"/>
  <c r="P579" i="9" s="1"/>
  <c r="N579" i="9"/>
  <c r="O579" i="9"/>
  <c r="Q579" i="9"/>
  <c r="R579" i="9"/>
  <c r="S579" i="9"/>
  <c r="T579" i="9"/>
  <c r="U579" i="9"/>
  <c r="O580" i="9"/>
  <c r="P580" i="9"/>
  <c r="T580" i="9"/>
  <c r="U580" i="9"/>
  <c r="O581" i="9"/>
  <c r="P581" i="9"/>
  <c r="T581" i="9"/>
  <c r="U581" i="9"/>
  <c r="L582" i="9"/>
  <c r="M582" i="9"/>
  <c r="P582" i="9" s="1"/>
  <c r="N582" i="9"/>
  <c r="O582" i="9"/>
  <c r="Q582" i="9"/>
  <c r="T582" i="9" s="1"/>
  <c r="R582" i="9"/>
  <c r="S582" i="9"/>
  <c r="U582" i="9"/>
  <c r="O583" i="9"/>
  <c r="P583" i="9"/>
  <c r="T583" i="9"/>
  <c r="U583" i="9"/>
  <c r="O584" i="9"/>
  <c r="P584" i="9"/>
  <c r="T584" i="9"/>
  <c r="U584" i="9"/>
  <c r="L600" i="9"/>
  <c r="M600" i="9"/>
  <c r="M599" i="9" s="1"/>
  <c r="P599" i="9" s="1"/>
  <c r="N600" i="9"/>
  <c r="O600" i="9"/>
  <c r="Q600" i="9"/>
  <c r="Q599" i="9" s="1"/>
  <c r="T599" i="9" s="1"/>
  <c r="R600" i="9"/>
  <c r="S600" i="9"/>
  <c r="U600" i="9"/>
  <c r="L601" i="9"/>
  <c r="O601" i="9" s="1"/>
  <c r="M601" i="9"/>
  <c r="P601" i="9" s="1"/>
  <c r="N601" i="9"/>
  <c r="Q601" i="9"/>
  <c r="T601" i="9" s="1"/>
  <c r="R601" i="9"/>
  <c r="U601" i="9" s="1"/>
  <c r="S601" i="9"/>
  <c r="S599" i="9" s="1"/>
  <c r="L602" i="9"/>
  <c r="O602" i="9" s="1"/>
  <c r="M602" i="9"/>
  <c r="P602" i="9" s="1"/>
  <c r="N602" i="9"/>
  <c r="Q602" i="9"/>
  <c r="T602" i="9" s="1"/>
  <c r="R602" i="9"/>
  <c r="U602" i="9" s="1"/>
  <c r="S602" i="9"/>
  <c r="O603" i="9"/>
  <c r="P603" i="9"/>
  <c r="T603" i="9"/>
  <c r="U603" i="9"/>
  <c r="O604" i="9"/>
  <c r="P604" i="9"/>
  <c r="T604" i="9"/>
  <c r="U604" i="9"/>
  <c r="L605" i="9"/>
  <c r="O605" i="9" s="1"/>
  <c r="M605" i="9"/>
  <c r="P605" i="9" s="1"/>
  <c r="N605" i="9"/>
  <c r="Q605" i="9"/>
  <c r="R605" i="9"/>
  <c r="U605" i="9" s="1"/>
  <c r="S605" i="9"/>
  <c r="T605" i="9"/>
  <c r="O606" i="9"/>
  <c r="P606" i="9"/>
  <c r="T606" i="9"/>
  <c r="U606" i="9"/>
  <c r="O607" i="9"/>
  <c r="P607" i="9"/>
  <c r="T607" i="9"/>
  <c r="U607" i="9"/>
  <c r="L617" i="9"/>
  <c r="M617" i="9"/>
  <c r="P617" i="9" s="1"/>
  <c r="N617" i="9"/>
  <c r="N616" i="9" s="1"/>
  <c r="Q617" i="9"/>
  <c r="R617" i="9"/>
  <c r="S617" i="9"/>
  <c r="T617" i="9"/>
  <c r="L618" i="9"/>
  <c r="M618" i="9"/>
  <c r="M616" i="9" s="1"/>
  <c r="P616" i="9" s="1"/>
  <c r="N618" i="9"/>
  <c r="O618" i="9"/>
  <c r="P618" i="9"/>
  <c r="L619" i="9"/>
  <c r="O619" i="9" s="1"/>
  <c r="M619" i="9"/>
  <c r="N619" i="9"/>
  <c r="P619" i="9"/>
  <c r="O620" i="9"/>
  <c r="P620" i="9"/>
  <c r="T620" i="9"/>
  <c r="U620" i="9"/>
  <c r="O621" i="9"/>
  <c r="P621" i="9"/>
  <c r="Q621" i="9"/>
  <c r="R621" i="9"/>
  <c r="R618" i="9" s="1"/>
  <c r="S621" i="9"/>
  <c r="S618" i="9" s="1"/>
  <c r="L622" i="9"/>
  <c r="M622" i="9"/>
  <c r="P622" i="9" s="1"/>
  <c r="N622" i="9"/>
  <c r="O622" i="9"/>
  <c r="Q622" i="9"/>
  <c r="R622" i="9"/>
  <c r="S622" i="9"/>
  <c r="T622" i="9"/>
  <c r="U622" i="9"/>
  <c r="O623" i="9"/>
  <c r="P623" i="9"/>
  <c r="T623" i="9"/>
  <c r="U623" i="9"/>
  <c r="O624" i="9"/>
  <c r="P624" i="9"/>
  <c r="T624" i="9"/>
  <c r="U624" i="9"/>
  <c r="I626" i="9"/>
  <c r="K630" i="9" s="1"/>
  <c r="I627" i="9"/>
  <c r="K627" i="9" s="1"/>
  <c r="I628" i="9"/>
  <c r="K628" i="9" s="1"/>
  <c r="J632" i="9"/>
  <c r="J626" i="9" s="1"/>
  <c r="I635" i="9"/>
  <c r="K635" i="9" s="1"/>
  <c r="J635" i="9"/>
  <c r="J636" i="9"/>
  <c r="L643" i="9"/>
  <c r="O643" i="9" s="1"/>
  <c r="M643" i="9"/>
  <c r="N643" i="9"/>
  <c r="Q643" i="9"/>
  <c r="R643" i="9"/>
  <c r="U643" i="9" s="1"/>
  <c r="S643" i="9"/>
  <c r="L644" i="9"/>
  <c r="O644" i="9" s="1"/>
  <c r="M644" i="9"/>
  <c r="P644" i="9" s="1"/>
  <c r="N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4" i="9" s="1"/>
  <c r="T644" i="9" s="1"/>
  <c r="R647" i="9"/>
  <c r="S647" i="9"/>
  <c r="S645" i="9" s="1"/>
  <c r="L648" i="9"/>
  <c r="O648" i="9" s="1"/>
  <c r="M648" i="9"/>
  <c r="P648" i="9" s="1"/>
  <c r="N648" i="9"/>
  <c r="Q648" i="9"/>
  <c r="R648" i="9"/>
  <c r="U648" i="9" s="1"/>
  <c r="S648" i="9"/>
  <c r="T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M691" i="9"/>
  <c r="N691" i="9"/>
  <c r="Q691" i="9"/>
  <c r="R691" i="9"/>
  <c r="U691" i="9" s="1"/>
  <c r="S691" i="9"/>
  <c r="L692" i="9"/>
  <c r="M692" i="9"/>
  <c r="P692" i="9" s="1"/>
  <c r="N692" i="9"/>
  <c r="O692" i="9"/>
  <c r="L693" i="9"/>
  <c r="M693" i="9"/>
  <c r="N693" i="9"/>
  <c r="O693" i="9"/>
  <c r="P693" i="9"/>
  <c r="O694" i="9"/>
  <c r="P694" i="9"/>
  <c r="T694" i="9"/>
  <c r="U694" i="9"/>
  <c r="O695" i="9"/>
  <c r="P695" i="9"/>
  <c r="Q695" i="9"/>
  <c r="Q692" i="9" s="1"/>
  <c r="R695" i="9"/>
  <c r="R692" i="9" s="1"/>
  <c r="S695" i="9"/>
  <c r="S693" i="9" s="1"/>
  <c r="L696" i="9"/>
  <c r="O696" i="9" s="1"/>
  <c r="M696" i="9"/>
  <c r="P696" i="9" s="1"/>
  <c r="N696" i="9"/>
  <c r="Q696" i="9"/>
  <c r="R696" i="9"/>
  <c r="U696" i="9" s="1"/>
  <c r="S696" i="9"/>
  <c r="T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K703" i="9" s="1"/>
  <c r="J703" i="9"/>
  <c r="J704" i="9"/>
  <c r="K704" i="9"/>
  <c r="I705" i="9"/>
  <c r="J705" i="9"/>
  <c r="J706" i="9"/>
  <c r="K706" i="9"/>
  <c r="I707" i="9"/>
  <c r="K707" i="9" s="1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N715" i="9"/>
  <c r="O715" i="9"/>
  <c r="Q715" i="9"/>
  <c r="R715" i="9"/>
  <c r="S715" i="9"/>
  <c r="S714" i="9" s="1"/>
  <c r="L716" i="9"/>
  <c r="O716" i="9" s="1"/>
  <c r="M716" i="9"/>
  <c r="P716" i="9" s="1"/>
  <c r="N716" i="9"/>
  <c r="N714" i="9" s="1"/>
  <c r="Q716" i="9"/>
  <c r="T716" i="9" s="1"/>
  <c r="R716" i="9"/>
  <c r="U716" i="9" s="1"/>
  <c r="S716" i="9"/>
  <c r="L717" i="9"/>
  <c r="O717" i="9" s="1"/>
  <c r="M717" i="9"/>
  <c r="P717" i="9" s="1"/>
  <c r="N717" i="9"/>
  <c r="Q717" i="9"/>
  <c r="T717" i="9" s="1"/>
  <c r="R717" i="9"/>
  <c r="S717" i="9"/>
  <c r="U717" i="9"/>
  <c r="O718" i="9"/>
  <c r="P718" i="9"/>
  <c r="T718" i="9"/>
  <c r="U718" i="9"/>
  <c r="O719" i="9"/>
  <c r="P719" i="9"/>
  <c r="T719" i="9"/>
  <c r="U719" i="9"/>
  <c r="L720" i="9"/>
  <c r="M720" i="9"/>
  <c r="P720" i="9" s="1"/>
  <c r="N720" i="9"/>
  <c r="O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J726" i="9"/>
  <c r="I727" i="9"/>
  <c r="K727" i="9" s="1"/>
  <c r="J727" i="9"/>
  <c r="L729" i="9"/>
  <c r="M729" i="9"/>
  <c r="N729" i="9"/>
  <c r="P729" i="9"/>
  <c r="Q729" i="9"/>
  <c r="R729" i="9"/>
  <c r="S729" i="9"/>
  <c r="U729" i="9"/>
  <c r="L730" i="9"/>
  <c r="O730" i="9" s="1"/>
  <c r="M730" i="9"/>
  <c r="P730" i="9" s="1"/>
  <c r="N730" i="9"/>
  <c r="N728" i="9" s="1"/>
  <c r="L731" i="9"/>
  <c r="M731" i="9"/>
  <c r="P731" i="9" s="1"/>
  <c r="N731" i="9"/>
  <c r="O731" i="9"/>
  <c r="O732" i="9"/>
  <c r="P732" i="9"/>
  <c r="T732" i="9"/>
  <c r="U732" i="9"/>
  <c r="O733" i="9"/>
  <c r="P733" i="9"/>
  <c r="Q733" i="9"/>
  <c r="Q731" i="9" s="1"/>
  <c r="R733" i="9"/>
  <c r="R731" i="9" s="1"/>
  <c r="S733" i="9"/>
  <c r="S731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L760" i="9" s="1"/>
  <c r="O760" i="9" s="1"/>
  <c r="M761" i="9"/>
  <c r="N761" i="9"/>
  <c r="N760" i="9" s="1"/>
  <c r="P761" i="9"/>
  <c r="Q761" i="9"/>
  <c r="T761" i="9" s="1"/>
  <c r="R761" i="9"/>
  <c r="S761" i="9"/>
  <c r="L762" i="9"/>
  <c r="O762" i="9" s="1"/>
  <c r="M762" i="9"/>
  <c r="P762" i="9" s="1"/>
  <c r="N762" i="9"/>
  <c r="L763" i="9"/>
  <c r="M763" i="9"/>
  <c r="N763" i="9"/>
  <c r="O763" i="9"/>
  <c r="P763" i="9"/>
  <c r="O764" i="9"/>
  <c r="P764" i="9"/>
  <c r="T764" i="9"/>
  <c r="U764" i="9"/>
  <c r="O765" i="9"/>
  <c r="P765" i="9"/>
  <c r="Q765" i="9"/>
  <c r="Q762" i="9" s="1"/>
  <c r="R765" i="9"/>
  <c r="R763" i="9" s="1"/>
  <c r="S765" i="9"/>
  <c r="L766" i="9"/>
  <c r="O766" i="9" s="1"/>
  <c r="M766" i="9"/>
  <c r="P766" i="9" s="1"/>
  <c r="N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22" i="8"/>
  <c r="M22" i="8"/>
  <c r="N22" i="8"/>
  <c r="Q22" i="8"/>
  <c r="R22" i="8"/>
  <c r="S22" i="8"/>
  <c r="T22" i="8"/>
  <c r="L25" i="8"/>
  <c r="M25" i="8"/>
  <c r="N25" i="8"/>
  <c r="Q25" i="8"/>
  <c r="Q24" i="8" s="1"/>
  <c r="T24" i="8" s="1"/>
  <c r="R25" i="8"/>
  <c r="S25" i="8"/>
  <c r="Q26" i="8"/>
  <c r="T26" i="8" s="1"/>
  <c r="R26" i="8"/>
  <c r="U26" i="8" s="1"/>
  <c r="S26" i="8"/>
  <c r="L45" i="8"/>
  <c r="O45" i="8" s="1"/>
  <c r="M45" i="8"/>
  <c r="N45" i="8"/>
  <c r="Q45" i="8"/>
  <c r="Q44" i="8" s="1"/>
  <c r="T44" i="8" s="1"/>
  <c r="R45" i="8"/>
  <c r="U45" i="8" s="1"/>
  <c r="S45" i="8"/>
  <c r="T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M49" i="8"/>
  <c r="M47" i="8" s="1"/>
  <c r="N49" i="8"/>
  <c r="T49" i="8"/>
  <c r="U49" i="8"/>
  <c r="Q50" i="8"/>
  <c r="T50" i="8" s="1"/>
  <c r="R50" i="8"/>
  <c r="U50" i="8" s="1"/>
  <c r="S50" i="8"/>
  <c r="O51" i="8"/>
  <c r="P51" i="8"/>
  <c r="T51" i="8"/>
  <c r="U51" i="8"/>
  <c r="L52" i="8"/>
  <c r="M52" i="8"/>
  <c r="N52" i="8"/>
  <c r="N50" i="8" s="1"/>
  <c r="T52" i="8"/>
  <c r="U52" i="8"/>
  <c r="L60" i="8"/>
  <c r="M60" i="8"/>
  <c r="N60" i="8"/>
  <c r="O60" i="8"/>
  <c r="Q60" i="8"/>
  <c r="Q59" i="8" s="1"/>
  <c r="T59" i="8" s="1"/>
  <c r="R60" i="8"/>
  <c r="R59" i="8" s="1"/>
  <c r="U59" i="8" s="1"/>
  <c r="S60" i="8"/>
  <c r="S59" i="8" s="1"/>
  <c r="T60" i="8"/>
  <c r="U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M62" i="8" s="1"/>
  <c r="N64" i="8"/>
  <c r="N62" i="8" s="1"/>
  <c r="T64" i="8"/>
  <c r="U64" i="8"/>
  <c r="Q65" i="8"/>
  <c r="R65" i="8"/>
  <c r="U65" i="8" s="1"/>
  <c r="S65" i="8"/>
  <c r="T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T73" i="8" s="1"/>
  <c r="R73" i="8"/>
  <c r="S73" i="8"/>
  <c r="U73" i="8"/>
  <c r="O76" i="8"/>
  <c r="P76" i="8"/>
  <c r="T76" i="8"/>
  <c r="U76" i="8"/>
  <c r="L77" i="8"/>
  <c r="M77" i="8"/>
  <c r="M75" i="8" s="1"/>
  <c r="P75" i="8" s="1"/>
  <c r="N77" i="8"/>
  <c r="N75" i="8" s="1"/>
  <c r="Q77" i="8"/>
  <c r="Q74" i="8" s="1"/>
  <c r="T74" i="8" s="1"/>
  <c r="R77" i="8"/>
  <c r="R74" i="8" s="1"/>
  <c r="S77" i="8"/>
  <c r="S75" i="8" s="1"/>
  <c r="Q78" i="8"/>
  <c r="T78" i="8" s="1"/>
  <c r="R78" i="8"/>
  <c r="U78" i="8" s="1"/>
  <c r="S78" i="8"/>
  <c r="O79" i="8"/>
  <c r="P79" i="8"/>
  <c r="T79" i="8"/>
  <c r="U79" i="8"/>
  <c r="L80" i="8"/>
  <c r="L78" i="8" s="1"/>
  <c r="O78" i="8" s="1"/>
  <c r="M80" i="8"/>
  <c r="M78" i="8" s="1"/>
  <c r="P78" i="8" s="1"/>
  <c r="N80" i="8"/>
  <c r="N78" i="8" s="1"/>
  <c r="T80" i="8"/>
  <c r="U80" i="8"/>
  <c r="J82" i="8"/>
  <c r="J70" i="8" s="1"/>
  <c r="J83" i="8"/>
  <c r="J71" i="8" s="1"/>
  <c r="I84" i="8"/>
  <c r="I85" i="8"/>
  <c r="K85" i="8" s="1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P95" i="8" s="1"/>
  <c r="N95" i="8"/>
  <c r="Q95" i="8"/>
  <c r="T95" i="8" s="1"/>
  <c r="R95" i="8"/>
  <c r="U95" i="8" s="1"/>
  <c r="S95" i="8"/>
  <c r="O98" i="8"/>
  <c r="P98" i="8"/>
  <c r="T98" i="8"/>
  <c r="U98" i="8"/>
  <c r="L99" i="8"/>
  <c r="M99" i="8"/>
  <c r="N99" i="8"/>
  <c r="N97" i="8" s="1"/>
  <c r="Q99" i="8"/>
  <c r="R99" i="8"/>
  <c r="R96" i="8" s="1"/>
  <c r="S99" i="8"/>
  <c r="S96" i="8" s="1"/>
  <c r="Q100" i="8"/>
  <c r="R100" i="8"/>
  <c r="U100" i="8" s="1"/>
  <c r="S100" i="8"/>
  <c r="T100" i="8"/>
  <c r="O101" i="8"/>
  <c r="P101" i="8"/>
  <c r="T101" i="8"/>
  <c r="U101" i="8"/>
  <c r="L102" i="8"/>
  <c r="O102" i="8" s="1"/>
  <c r="M102" i="8"/>
  <c r="M100" i="8" s="1"/>
  <c r="P100" i="8" s="1"/>
  <c r="N102" i="8"/>
  <c r="N100" i="8" s="1"/>
  <c r="T102" i="8"/>
  <c r="U102" i="8"/>
  <c r="I108" i="8"/>
  <c r="I92" i="8" s="1"/>
  <c r="I109" i="8"/>
  <c r="K109" i="8" s="1"/>
  <c r="I113" i="8"/>
  <c r="K113" i="8" s="1"/>
  <c r="I114" i="8"/>
  <c r="K114" i="8" s="1"/>
  <c r="J116" i="8"/>
  <c r="L118" i="8"/>
  <c r="M118" i="8"/>
  <c r="N118" i="8"/>
  <c r="Q118" i="8"/>
  <c r="R118" i="8"/>
  <c r="S118" i="8"/>
  <c r="T118" i="8"/>
  <c r="O121" i="8"/>
  <c r="P121" i="8"/>
  <c r="T121" i="8"/>
  <c r="U121" i="8"/>
  <c r="L122" i="8"/>
  <c r="L120" i="8" s="1"/>
  <c r="O120" i="8" s="1"/>
  <c r="M122" i="8"/>
  <c r="N122" i="8"/>
  <c r="N120" i="8" s="1"/>
  <c r="Q122" i="8"/>
  <c r="Q119" i="8" s="1"/>
  <c r="R122" i="8"/>
  <c r="R120" i="8" s="1"/>
  <c r="S122" i="8"/>
  <c r="S119" i="8" s="1"/>
  <c r="Q123" i="8"/>
  <c r="T123" i="8" s="1"/>
  <c r="R123" i="8"/>
  <c r="U123" i="8" s="1"/>
  <c r="S123" i="8"/>
  <c r="O124" i="8"/>
  <c r="P124" i="8"/>
  <c r="T124" i="8"/>
  <c r="U124" i="8"/>
  <c r="L125" i="8"/>
  <c r="L123" i="8" s="1"/>
  <c r="O123" i="8" s="1"/>
  <c r="M125" i="8"/>
  <c r="M123" i="8" s="1"/>
  <c r="P123" i="8" s="1"/>
  <c r="N125" i="8"/>
  <c r="N123" i="8" s="1"/>
  <c r="T125" i="8"/>
  <c r="U125" i="8"/>
  <c r="I127" i="8"/>
  <c r="I116" i="8" s="1"/>
  <c r="K116" i="8" s="1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P140" i="8"/>
  <c r="Q140" i="8"/>
  <c r="R140" i="8"/>
  <c r="U140" i="8" s="1"/>
  <c r="S140" i="8"/>
  <c r="O143" i="8"/>
  <c r="P143" i="8"/>
  <c r="T143" i="8"/>
  <c r="U143" i="8"/>
  <c r="L144" i="8"/>
  <c r="M144" i="8"/>
  <c r="N144" i="8"/>
  <c r="N142" i="8" s="1"/>
  <c r="Q144" i="8"/>
  <c r="Q141" i="8" s="1"/>
  <c r="T141" i="8" s="1"/>
  <c r="R144" i="8"/>
  <c r="R141" i="8" s="1"/>
  <c r="S144" i="8"/>
  <c r="S142" i="8" s="1"/>
  <c r="Q145" i="8"/>
  <c r="R145" i="8"/>
  <c r="S145" i="8"/>
  <c r="T145" i="8"/>
  <c r="U145" i="8"/>
  <c r="O146" i="8"/>
  <c r="P146" i="8"/>
  <c r="T146" i="8"/>
  <c r="U146" i="8"/>
  <c r="L147" i="8"/>
  <c r="M147" i="8"/>
  <c r="N147" i="8"/>
  <c r="N145" i="8" s="1"/>
  <c r="T147" i="8"/>
  <c r="U147" i="8"/>
  <c r="I150" i="8"/>
  <c r="K150" i="8" s="1"/>
  <c r="I151" i="8"/>
  <c r="K151" i="8" s="1"/>
  <c r="I152" i="8"/>
  <c r="K152" i="8" s="1"/>
  <c r="I153" i="8"/>
  <c r="K153" i="8" s="1"/>
  <c r="I154" i="8"/>
  <c r="I136" i="8" s="1"/>
  <c r="K136" i="8" s="1"/>
  <c r="J156" i="8"/>
  <c r="L158" i="8"/>
  <c r="M158" i="8"/>
  <c r="N158" i="8"/>
  <c r="Q158" i="8"/>
  <c r="R158" i="8"/>
  <c r="S158" i="8"/>
  <c r="T158" i="8"/>
  <c r="O161" i="8"/>
  <c r="P161" i="8"/>
  <c r="T161" i="8"/>
  <c r="U161" i="8"/>
  <c r="L162" i="8"/>
  <c r="M162" i="8"/>
  <c r="M160" i="8" s="1"/>
  <c r="N162" i="8"/>
  <c r="Q162" i="8"/>
  <c r="Q159" i="8" s="1"/>
  <c r="T159" i="8" s="1"/>
  <c r="R162" i="8"/>
  <c r="U162" i="8" s="1"/>
  <c r="S162" i="8"/>
  <c r="S159" i="8" s="1"/>
  <c r="Q163" i="8"/>
  <c r="T163" i="8" s="1"/>
  <c r="R163" i="8"/>
  <c r="U163" i="8" s="1"/>
  <c r="S163" i="8"/>
  <c r="O164" i="8"/>
  <c r="P164" i="8"/>
  <c r="T164" i="8"/>
  <c r="U164" i="8"/>
  <c r="L165" i="8"/>
  <c r="L163" i="8" s="1"/>
  <c r="O163" i="8" s="1"/>
  <c r="M165" i="8"/>
  <c r="P165" i="8" s="1"/>
  <c r="N165" i="8"/>
  <c r="T165" i="8"/>
  <c r="U165" i="8"/>
  <c r="I167" i="8"/>
  <c r="K167" i="8" s="1"/>
  <c r="I168" i="8"/>
  <c r="K168" i="8" s="1"/>
  <c r="I169" i="8"/>
  <c r="I156" i="8" s="1"/>
  <c r="K156" i="8" s="1"/>
  <c r="J172" i="8"/>
  <c r="L174" i="8"/>
  <c r="O174" i="8" s="1"/>
  <c r="M174" i="8"/>
  <c r="N174" i="8"/>
  <c r="P174" i="8"/>
  <c r="Q174" i="8"/>
  <c r="R174" i="8"/>
  <c r="U174" i="8" s="1"/>
  <c r="S174" i="8"/>
  <c r="T174" i="8"/>
  <c r="O177" i="8"/>
  <c r="P177" i="8"/>
  <c r="T177" i="8"/>
  <c r="U177" i="8"/>
  <c r="L178" i="8"/>
  <c r="M178" i="8"/>
  <c r="N178" i="8"/>
  <c r="Q178" i="8"/>
  <c r="Q175" i="8" s="1"/>
  <c r="Q173" i="8" s="1"/>
  <c r="T173" i="8" s="1"/>
  <c r="R178" i="8"/>
  <c r="R175" i="8" s="1"/>
  <c r="U175" i="8" s="1"/>
  <c r="S178" i="8"/>
  <c r="S175" i="8" s="1"/>
  <c r="S173" i="8" s="1"/>
  <c r="Q179" i="8"/>
  <c r="T179" i="8" s="1"/>
  <c r="R179" i="8"/>
  <c r="U179" i="8" s="1"/>
  <c r="S179" i="8"/>
  <c r="O180" i="8"/>
  <c r="P180" i="8"/>
  <c r="T180" i="8"/>
  <c r="U180" i="8"/>
  <c r="L181" i="8"/>
  <c r="L179" i="8" s="1"/>
  <c r="O179" i="8" s="1"/>
  <c r="M181" i="8"/>
  <c r="M179" i="8" s="1"/>
  <c r="P179" i="8" s="1"/>
  <c r="N181" i="8"/>
  <c r="N179" i="8" s="1"/>
  <c r="T181" i="8"/>
  <c r="U181" i="8"/>
  <c r="I183" i="8"/>
  <c r="I172" i="8" s="1"/>
  <c r="K172" i="8" s="1"/>
  <c r="K184" i="8"/>
  <c r="L187" i="8"/>
  <c r="O187" i="8" s="1"/>
  <c r="M187" i="8"/>
  <c r="N187" i="8"/>
  <c r="P187" i="8"/>
  <c r="Q187" i="8"/>
  <c r="T187" i="8" s="1"/>
  <c r="R187" i="8"/>
  <c r="U187" i="8" s="1"/>
  <c r="S187" i="8"/>
  <c r="O190" i="8"/>
  <c r="P190" i="8"/>
  <c r="T190" i="8"/>
  <c r="U190" i="8"/>
  <c r="L191" i="8"/>
  <c r="L189" i="8" s="1"/>
  <c r="M191" i="8"/>
  <c r="M189" i="8" s="1"/>
  <c r="N191" i="8"/>
  <c r="Q191" i="8"/>
  <c r="Q188" i="8" s="1"/>
  <c r="Q186" i="8" s="1"/>
  <c r="R191" i="8"/>
  <c r="R189" i="8" s="1"/>
  <c r="S191" i="8"/>
  <c r="Q192" i="8"/>
  <c r="T192" i="8" s="1"/>
  <c r="R192" i="8"/>
  <c r="S192" i="8"/>
  <c r="U192" i="8"/>
  <c r="O193" i="8"/>
  <c r="P193" i="8"/>
  <c r="T193" i="8"/>
  <c r="U193" i="8"/>
  <c r="L194" i="8"/>
  <c r="L192" i="8" s="1"/>
  <c r="O192" i="8" s="1"/>
  <c r="M194" i="8"/>
  <c r="P194" i="8" s="1"/>
  <c r="N194" i="8"/>
  <c r="N192" i="8" s="1"/>
  <c r="T194" i="8"/>
  <c r="U194" i="8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N233" i="8"/>
  <c r="N234" i="8"/>
  <c r="N235" i="8"/>
  <c r="N236" i="8"/>
  <c r="J238" i="8"/>
  <c r="I240" i="8"/>
  <c r="K240" i="8" s="1"/>
  <c r="J240" i="8"/>
  <c r="I241" i="8"/>
  <c r="J241" i="8"/>
  <c r="K241" i="8"/>
  <c r="J242" i="8"/>
  <c r="J231" i="8" s="1"/>
  <c r="J185" i="8" s="1"/>
  <c r="N243" i="8"/>
  <c r="N232" i="8" s="1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I253" i="8" s="1"/>
  <c r="K253" i="8" s="1"/>
  <c r="K262" i="8"/>
  <c r="K263" i="8"/>
  <c r="J265" i="8"/>
  <c r="L267" i="8"/>
  <c r="M267" i="8"/>
  <c r="N267" i="8"/>
  <c r="P267" i="8"/>
  <c r="Q267" i="8"/>
  <c r="R267" i="8"/>
  <c r="S267" i="8"/>
  <c r="O270" i="8"/>
  <c r="P270" i="8"/>
  <c r="T270" i="8"/>
  <c r="U270" i="8"/>
  <c r="L271" i="8"/>
  <c r="M271" i="8"/>
  <c r="N271" i="8"/>
  <c r="Q271" i="8"/>
  <c r="Q268" i="8" s="1"/>
  <c r="R271" i="8"/>
  <c r="S271" i="8"/>
  <c r="Q272" i="8"/>
  <c r="R272" i="8"/>
  <c r="S272" i="8"/>
  <c r="T272" i="8"/>
  <c r="U272" i="8"/>
  <c r="O273" i="8"/>
  <c r="P273" i="8"/>
  <c r="T273" i="8"/>
  <c r="U273" i="8"/>
  <c r="L274" i="8"/>
  <c r="M274" i="8"/>
  <c r="N274" i="8"/>
  <c r="N272" i="8" s="1"/>
  <c r="T274" i="8"/>
  <c r="U274" i="8"/>
  <c r="I276" i="8"/>
  <c r="K276" i="8" s="1"/>
  <c r="J281" i="8"/>
  <c r="L283" i="8"/>
  <c r="M283" i="8"/>
  <c r="N283" i="8"/>
  <c r="Q283" i="8"/>
  <c r="R283" i="8"/>
  <c r="S283" i="8"/>
  <c r="Q284" i="8"/>
  <c r="R284" i="8"/>
  <c r="S284" i="8"/>
  <c r="T284" i="8"/>
  <c r="U284" i="8"/>
  <c r="Q285" i="8"/>
  <c r="T285" i="8" s="1"/>
  <c r="R285" i="8"/>
  <c r="S285" i="8"/>
  <c r="U285" i="8"/>
  <c r="O286" i="8"/>
  <c r="P286" i="8"/>
  <c r="T286" i="8"/>
  <c r="U286" i="8"/>
  <c r="L287" i="8"/>
  <c r="L285" i="8" s="1"/>
  <c r="O285" i="8" s="1"/>
  <c r="M287" i="8"/>
  <c r="N287" i="8"/>
  <c r="N285" i="8" s="1"/>
  <c r="T287" i="8"/>
  <c r="U287" i="8"/>
  <c r="Q288" i="8"/>
  <c r="R288" i="8"/>
  <c r="U288" i="8" s="1"/>
  <c r="S288" i="8"/>
  <c r="T288" i="8"/>
  <c r="O289" i="8"/>
  <c r="P289" i="8"/>
  <c r="T289" i="8"/>
  <c r="U289" i="8"/>
  <c r="L290" i="8"/>
  <c r="O290" i="8" s="1"/>
  <c r="M290" i="8"/>
  <c r="N290" i="8"/>
  <c r="N288" i="8" s="1"/>
  <c r="T290" i="8"/>
  <c r="U290" i="8"/>
  <c r="I292" i="8"/>
  <c r="K292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N304" i="8"/>
  <c r="Q304" i="8"/>
  <c r="R304" i="8"/>
  <c r="S304" i="8"/>
  <c r="O307" i="8"/>
  <c r="P307" i="8"/>
  <c r="T307" i="8"/>
  <c r="U307" i="8"/>
  <c r="L308" i="8"/>
  <c r="L306" i="8" s="1"/>
  <c r="O306" i="8" s="1"/>
  <c r="M308" i="8"/>
  <c r="N308" i="8"/>
  <c r="Q308" i="8"/>
  <c r="Q305" i="8" s="1"/>
  <c r="R308" i="8"/>
  <c r="R306" i="8" s="1"/>
  <c r="S308" i="8"/>
  <c r="S305" i="8" s="1"/>
  <c r="Q309" i="8"/>
  <c r="T309" i="8" s="1"/>
  <c r="R309" i="8"/>
  <c r="U309" i="8" s="1"/>
  <c r="S309" i="8"/>
  <c r="O310" i="8"/>
  <c r="P310" i="8"/>
  <c r="T310" i="8"/>
  <c r="U310" i="8"/>
  <c r="L311" i="8"/>
  <c r="O311" i="8" s="1"/>
  <c r="M311" i="8"/>
  <c r="N311" i="8"/>
  <c r="N309" i="8" s="1"/>
  <c r="T311" i="8"/>
  <c r="U311" i="8"/>
  <c r="I314" i="8"/>
  <c r="I302" i="8" s="1"/>
  <c r="J319" i="8"/>
  <c r="L321" i="8"/>
  <c r="O321" i="8" s="1"/>
  <c r="M321" i="8"/>
  <c r="N321" i="8"/>
  <c r="P321" i="8"/>
  <c r="Q321" i="8"/>
  <c r="R321" i="8"/>
  <c r="U321" i="8" s="1"/>
  <c r="S321" i="8"/>
  <c r="S320" i="8" s="1"/>
  <c r="T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M325" i="8"/>
  <c r="M323" i="8" s="1"/>
  <c r="P323" i="8" s="1"/>
  <c r="N325" i="8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O328" i="8" s="1"/>
  <c r="M328" i="8"/>
  <c r="M326" i="8" s="1"/>
  <c r="P326" i="8" s="1"/>
  <c r="N328" i="8"/>
  <c r="N326" i="8" s="1"/>
  <c r="T328" i="8"/>
  <c r="U328" i="8"/>
  <c r="I330" i="8"/>
  <c r="I319" i="8" s="1"/>
  <c r="K319" i="8" s="1"/>
  <c r="L334" i="8"/>
  <c r="M334" i="8"/>
  <c r="N334" i="8"/>
  <c r="P334" i="8"/>
  <c r="Q334" i="8"/>
  <c r="R334" i="8"/>
  <c r="S334" i="8"/>
  <c r="Q335" i="8"/>
  <c r="T335" i="8" s="1"/>
  <c r="R335" i="8"/>
  <c r="U335" i="8" s="1"/>
  <c r="S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M339" i="8" s="1"/>
  <c r="P339" i="8" s="1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D354" i="8"/>
  <c r="L357" i="8"/>
  <c r="M357" i="8"/>
  <c r="N357" i="8"/>
  <c r="Q357" i="8"/>
  <c r="R357" i="8"/>
  <c r="S357" i="8"/>
  <c r="S356" i="8" s="1"/>
  <c r="T357" i="8"/>
  <c r="Q358" i="8"/>
  <c r="T358" i="8" s="1"/>
  <c r="R358" i="8"/>
  <c r="S358" i="8"/>
  <c r="U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T361" i="8"/>
  <c r="U361" i="8"/>
  <c r="Q362" i="8"/>
  <c r="R362" i="8"/>
  <c r="U362" i="8" s="1"/>
  <c r="S362" i="8"/>
  <c r="T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L375" i="8" s="1"/>
  <c r="O375" i="8" s="1"/>
  <c r="M376" i="8"/>
  <c r="N376" i="8"/>
  <c r="P376" i="8"/>
  <c r="Q376" i="8"/>
  <c r="R376" i="8"/>
  <c r="U376" i="8" s="1"/>
  <c r="S376" i="8"/>
  <c r="T376" i="8"/>
  <c r="L377" i="8"/>
  <c r="O377" i="8" s="1"/>
  <c r="M377" i="8"/>
  <c r="P377" i="8" s="1"/>
  <c r="N377" i="8"/>
  <c r="L378" i="8"/>
  <c r="O378" i="8" s="1"/>
  <c r="M378" i="8"/>
  <c r="P378" i="8" s="1"/>
  <c r="N378" i="8"/>
  <c r="O379" i="8"/>
  <c r="P379" i="8"/>
  <c r="T379" i="8"/>
  <c r="U379" i="8"/>
  <c r="O380" i="8"/>
  <c r="P380" i="8"/>
  <c r="Q380" i="8"/>
  <c r="R380" i="8"/>
  <c r="U380" i="8" s="1"/>
  <c r="S380" i="8"/>
  <c r="S377" i="8" s="1"/>
  <c r="S375" i="8" s="1"/>
  <c r="L381" i="8"/>
  <c r="O381" i="8" s="1"/>
  <c r="M381" i="8"/>
  <c r="N381" i="8"/>
  <c r="P381" i="8"/>
  <c r="Q381" i="8"/>
  <c r="T381" i="8" s="1"/>
  <c r="R381" i="8"/>
  <c r="U381" i="8" s="1"/>
  <c r="S381" i="8"/>
  <c r="O382" i="8"/>
  <c r="P382" i="8"/>
  <c r="T382" i="8"/>
  <c r="U382" i="8"/>
  <c r="O383" i="8"/>
  <c r="P383" i="8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O392" i="8"/>
  <c r="L393" i="8"/>
  <c r="L392" i="8" s="1"/>
  <c r="M393" i="8"/>
  <c r="N393" i="8"/>
  <c r="N392" i="8" s="1"/>
  <c r="P393" i="8"/>
  <c r="Q393" i="8"/>
  <c r="R393" i="8"/>
  <c r="S393" i="8"/>
  <c r="L394" i="8"/>
  <c r="O394" i="8" s="1"/>
  <c r="M394" i="8"/>
  <c r="N394" i="8"/>
  <c r="Q394" i="8"/>
  <c r="R394" i="8"/>
  <c r="U394" i="8" s="1"/>
  <c r="S394" i="8"/>
  <c r="S392" i="8" s="1"/>
  <c r="T394" i="8"/>
  <c r="L395" i="8"/>
  <c r="M395" i="8"/>
  <c r="P395" i="8" s="1"/>
  <c r="N395" i="8"/>
  <c r="O395" i="8"/>
  <c r="Q395" i="8"/>
  <c r="T395" i="8" s="1"/>
  <c r="R395" i="8"/>
  <c r="S395" i="8"/>
  <c r="U395" i="8"/>
  <c r="O396" i="8"/>
  <c r="P396" i="8"/>
  <c r="T396" i="8"/>
  <c r="U396" i="8"/>
  <c r="O397" i="8"/>
  <c r="P397" i="8"/>
  <c r="T397" i="8"/>
  <c r="U397" i="8"/>
  <c r="L398" i="8"/>
  <c r="M398" i="8"/>
  <c r="P398" i="8" s="1"/>
  <c r="N398" i="8"/>
  <c r="O398" i="8"/>
  <c r="Q398" i="8"/>
  <c r="T398" i="8" s="1"/>
  <c r="R398" i="8"/>
  <c r="S398" i="8"/>
  <c r="U398" i="8"/>
  <c r="O399" i="8"/>
  <c r="P399" i="8"/>
  <c r="T399" i="8"/>
  <c r="U399" i="8"/>
  <c r="O400" i="8"/>
  <c r="P400" i="8"/>
  <c r="T400" i="8"/>
  <c r="U400" i="8"/>
  <c r="L414" i="8"/>
  <c r="M414" i="8"/>
  <c r="N414" i="8"/>
  <c r="O414" i="8"/>
  <c r="Q414" i="8"/>
  <c r="R414" i="8"/>
  <c r="U414" i="8" s="1"/>
  <c r="S414" i="8"/>
  <c r="T414" i="8"/>
  <c r="L415" i="8"/>
  <c r="O415" i="8" s="1"/>
  <c r="M415" i="8"/>
  <c r="N415" i="8"/>
  <c r="P415" i="8"/>
  <c r="L416" i="8"/>
  <c r="O416" i="8" s="1"/>
  <c r="M416" i="8"/>
  <c r="P416" i="8" s="1"/>
  <c r="N416" i="8"/>
  <c r="O417" i="8"/>
  <c r="P417" i="8"/>
  <c r="T417" i="8"/>
  <c r="U417" i="8"/>
  <c r="O418" i="8"/>
  <c r="P418" i="8"/>
  <c r="Q418" i="8"/>
  <c r="Q416" i="8" s="1"/>
  <c r="T416" i="8" s="1"/>
  <c r="R418" i="8"/>
  <c r="R416" i="8" s="1"/>
  <c r="U416" i="8" s="1"/>
  <c r="S418" i="8"/>
  <c r="L419" i="8"/>
  <c r="O419" i="8" s="1"/>
  <c r="M419" i="8"/>
  <c r="N419" i="8"/>
  <c r="P419" i="8"/>
  <c r="Q419" i="8"/>
  <c r="R419" i="8"/>
  <c r="U419" i="8" s="1"/>
  <c r="S419" i="8"/>
  <c r="T419" i="8"/>
  <c r="O420" i="8"/>
  <c r="P420" i="8"/>
  <c r="T420" i="8"/>
  <c r="U420" i="8"/>
  <c r="O421" i="8"/>
  <c r="P421" i="8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41" i="8"/>
  <c r="K441" i="8" s="1"/>
  <c r="J446" i="8"/>
  <c r="J440" i="8" s="1"/>
  <c r="J423" i="8" s="1"/>
  <c r="J412" i="8" s="1"/>
  <c r="J447" i="8"/>
  <c r="J441" i="8" s="1"/>
  <c r="I457" i="8"/>
  <c r="I456" i="8" s="1"/>
  <c r="K456" i="8" s="1"/>
  <c r="I458" i="8"/>
  <c r="K458" i="8" s="1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J485" i="8"/>
  <c r="K485" i="8"/>
  <c r="L494" i="8"/>
  <c r="M494" i="8"/>
  <c r="N494" i="8"/>
  <c r="Q494" i="8"/>
  <c r="T494" i="8" s="1"/>
  <c r="R494" i="8"/>
  <c r="S494" i="8"/>
  <c r="L495" i="8"/>
  <c r="M495" i="8"/>
  <c r="P495" i="8" s="1"/>
  <c r="N495" i="8"/>
  <c r="N493" i="8" s="1"/>
  <c r="O495" i="8"/>
  <c r="L496" i="8"/>
  <c r="O496" i="8" s="1"/>
  <c r="M496" i="8"/>
  <c r="N496" i="8"/>
  <c r="P496" i="8"/>
  <c r="O497" i="8"/>
  <c r="P497" i="8"/>
  <c r="T497" i="8"/>
  <c r="U497" i="8"/>
  <c r="O498" i="8"/>
  <c r="P498" i="8"/>
  <c r="Q498" i="8"/>
  <c r="R498" i="8"/>
  <c r="S498" i="8"/>
  <c r="S495" i="8" s="1"/>
  <c r="L499" i="8"/>
  <c r="O499" i="8" s="1"/>
  <c r="M499" i="8"/>
  <c r="P499" i="8" s="1"/>
  <c r="N499" i="8"/>
  <c r="Q499" i="8"/>
  <c r="T499" i="8" s="1"/>
  <c r="R499" i="8"/>
  <c r="U499" i="8" s="1"/>
  <c r="S499" i="8"/>
  <c r="O500" i="8"/>
  <c r="P500" i="8"/>
  <c r="T500" i="8"/>
  <c r="U500" i="8"/>
  <c r="O501" i="8"/>
  <c r="P501" i="8"/>
  <c r="T501" i="8"/>
  <c r="U501" i="8"/>
  <c r="I503" i="8"/>
  <c r="I492" i="8" s="1"/>
  <c r="K492" i="8" s="1"/>
  <c r="I504" i="8"/>
  <c r="K504" i="8" s="1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O514" i="8" s="1"/>
  <c r="M514" i="8"/>
  <c r="N514" i="8"/>
  <c r="P514" i="8"/>
  <c r="Q514" i="8"/>
  <c r="R514" i="8"/>
  <c r="U514" i="8" s="1"/>
  <c r="S514" i="8"/>
  <c r="S513" i="8" s="1"/>
  <c r="Q515" i="8"/>
  <c r="T515" i="8" s="1"/>
  <c r="R515" i="8"/>
  <c r="S515" i="8"/>
  <c r="Q516" i="8"/>
  <c r="R516" i="8"/>
  <c r="S516" i="8"/>
  <c r="T516" i="8"/>
  <c r="U516" i="8"/>
  <c r="O517" i="8"/>
  <c r="P517" i="8"/>
  <c r="T517" i="8"/>
  <c r="U517" i="8"/>
  <c r="L518" i="8"/>
  <c r="M518" i="8"/>
  <c r="P518" i="8" s="1"/>
  <c r="N518" i="8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L519" i="8" s="1"/>
  <c r="O519" i="8" s="1"/>
  <c r="M521" i="8"/>
  <c r="M519" i="8" s="1"/>
  <c r="P519" i="8" s="1"/>
  <c r="N521" i="8"/>
  <c r="N519" i="8" s="1"/>
  <c r="T521" i="8"/>
  <c r="U521" i="8"/>
  <c r="K523" i="8"/>
  <c r="K524" i="8"/>
  <c r="I533" i="8"/>
  <c r="K533" i="8" s="1"/>
  <c r="J533" i="8"/>
  <c r="N534" i="8"/>
  <c r="L535" i="8"/>
  <c r="M535" i="8"/>
  <c r="N535" i="8"/>
  <c r="P535" i="8"/>
  <c r="Q535" i="8"/>
  <c r="R535" i="8"/>
  <c r="S535" i="8"/>
  <c r="L536" i="8"/>
  <c r="O536" i="8" s="1"/>
  <c r="M536" i="8"/>
  <c r="N536" i="8"/>
  <c r="Q536" i="8"/>
  <c r="R536" i="8"/>
  <c r="U536" i="8" s="1"/>
  <c r="S536" i="8"/>
  <c r="S534" i="8" s="1"/>
  <c r="T536" i="8"/>
  <c r="L537" i="8"/>
  <c r="M537" i="8"/>
  <c r="N537" i="8"/>
  <c r="O537" i="8"/>
  <c r="P537" i="8"/>
  <c r="Q537" i="8"/>
  <c r="T537" i="8" s="1"/>
  <c r="R537" i="8"/>
  <c r="S537" i="8"/>
  <c r="U537" i="8"/>
  <c r="O538" i="8"/>
  <c r="P538" i="8"/>
  <c r="T538" i="8"/>
  <c r="U538" i="8"/>
  <c r="O539" i="8"/>
  <c r="P539" i="8"/>
  <c r="T539" i="8"/>
  <c r="U539" i="8"/>
  <c r="L540" i="8"/>
  <c r="M540" i="8"/>
  <c r="N540" i="8"/>
  <c r="O540" i="8"/>
  <c r="P540" i="8"/>
  <c r="Q540" i="8"/>
  <c r="R540" i="8"/>
  <c r="S540" i="8"/>
  <c r="T540" i="8"/>
  <c r="U540" i="8"/>
  <c r="O541" i="8"/>
  <c r="P541" i="8"/>
  <c r="T541" i="8"/>
  <c r="U541" i="8"/>
  <c r="O542" i="8"/>
  <c r="P542" i="8"/>
  <c r="T542" i="8"/>
  <c r="U542" i="8"/>
  <c r="I554" i="8"/>
  <c r="K554" i="8" s="1"/>
  <c r="J554" i="8"/>
  <c r="L555" i="8"/>
  <c r="O555" i="8" s="1"/>
  <c r="L556" i="8"/>
  <c r="M556" i="8"/>
  <c r="P556" i="8" s="1"/>
  <c r="N556" i="8"/>
  <c r="O556" i="8"/>
  <c r="Q556" i="8"/>
  <c r="Q555" i="8" s="1"/>
  <c r="T555" i="8" s="1"/>
  <c r="R556" i="8"/>
  <c r="R555" i="8" s="1"/>
  <c r="U555" i="8" s="1"/>
  <c r="S556" i="8"/>
  <c r="S555" i="8" s="1"/>
  <c r="T556" i="8"/>
  <c r="U556" i="8"/>
  <c r="L557" i="8"/>
  <c r="O557" i="8" s="1"/>
  <c r="M557" i="8"/>
  <c r="N557" i="8"/>
  <c r="P557" i="8"/>
  <c r="Q557" i="8"/>
  <c r="T557" i="8" s="1"/>
  <c r="R557" i="8"/>
  <c r="U557" i="8" s="1"/>
  <c r="S557" i="8"/>
  <c r="L558" i="8"/>
  <c r="O558" i="8" s="1"/>
  <c r="M558" i="8"/>
  <c r="P558" i="8" s="1"/>
  <c r="N558" i="8"/>
  <c r="Q558" i="8"/>
  <c r="T558" i="8" s="1"/>
  <c r="R558" i="8"/>
  <c r="U558" i="8" s="1"/>
  <c r="S558" i="8"/>
  <c r="O559" i="8"/>
  <c r="P559" i="8"/>
  <c r="T559" i="8"/>
  <c r="U559" i="8"/>
  <c r="O560" i="8"/>
  <c r="P560" i="8"/>
  <c r="T560" i="8"/>
  <c r="U560" i="8"/>
  <c r="L561" i="8"/>
  <c r="O561" i="8" s="1"/>
  <c r="M561" i="8"/>
  <c r="P561" i="8" s="1"/>
  <c r="N561" i="8"/>
  <c r="Q561" i="8"/>
  <c r="T561" i="8" s="1"/>
  <c r="R561" i="8"/>
  <c r="U561" i="8" s="1"/>
  <c r="S561" i="8"/>
  <c r="O562" i="8"/>
  <c r="P562" i="8"/>
  <c r="T562" i="8"/>
  <c r="U562" i="8"/>
  <c r="O563" i="8"/>
  <c r="P563" i="8"/>
  <c r="T563" i="8"/>
  <c r="U563" i="8"/>
  <c r="I575" i="8"/>
  <c r="K575" i="8" s="1"/>
  <c r="J575" i="8"/>
  <c r="L577" i="8"/>
  <c r="M577" i="8"/>
  <c r="P577" i="8" s="1"/>
  <c r="N577" i="8"/>
  <c r="Q577" i="8"/>
  <c r="R577" i="8"/>
  <c r="S577" i="8"/>
  <c r="L578" i="8"/>
  <c r="O578" i="8" s="1"/>
  <c r="M578" i="8"/>
  <c r="N578" i="8"/>
  <c r="N576" i="8" s="1"/>
  <c r="Q578" i="8"/>
  <c r="R578" i="8"/>
  <c r="U578" i="8" s="1"/>
  <c r="S578" i="8"/>
  <c r="S576" i="8" s="1"/>
  <c r="T578" i="8"/>
  <c r="L579" i="8"/>
  <c r="M579" i="8"/>
  <c r="N579" i="8"/>
  <c r="O579" i="8"/>
  <c r="P579" i="8"/>
  <c r="Q579" i="8"/>
  <c r="T579" i="8" s="1"/>
  <c r="R579" i="8"/>
  <c r="S579" i="8"/>
  <c r="U579" i="8"/>
  <c r="O580" i="8"/>
  <c r="P580" i="8"/>
  <c r="T580" i="8"/>
  <c r="U580" i="8"/>
  <c r="O581" i="8"/>
  <c r="P581" i="8"/>
  <c r="T581" i="8"/>
  <c r="U581" i="8"/>
  <c r="L582" i="8"/>
  <c r="M582" i="8"/>
  <c r="N582" i="8"/>
  <c r="O582" i="8"/>
  <c r="P582" i="8"/>
  <c r="Q582" i="8"/>
  <c r="T582" i="8" s="1"/>
  <c r="R582" i="8"/>
  <c r="S582" i="8"/>
  <c r="U582" i="8"/>
  <c r="O583" i="8"/>
  <c r="P583" i="8"/>
  <c r="T583" i="8"/>
  <c r="U583" i="8"/>
  <c r="O584" i="8"/>
  <c r="P584" i="8"/>
  <c r="T584" i="8"/>
  <c r="U584" i="8"/>
  <c r="L600" i="8"/>
  <c r="M600" i="8"/>
  <c r="N600" i="8"/>
  <c r="P600" i="8"/>
  <c r="Q600" i="8"/>
  <c r="R600" i="8"/>
  <c r="S600" i="8"/>
  <c r="L601" i="8"/>
  <c r="O601" i="8" s="1"/>
  <c r="M601" i="8"/>
  <c r="P601" i="8" s="1"/>
  <c r="N601" i="8"/>
  <c r="N599" i="8" s="1"/>
  <c r="Q601" i="8"/>
  <c r="R601" i="8"/>
  <c r="U601" i="8" s="1"/>
  <c r="S601" i="8"/>
  <c r="T601" i="8"/>
  <c r="L602" i="8"/>
  <c r="M602" i="8"/>
  <c r="P602" i="8" s="1"/>
  <c r="N602" i="8"/>
  <c r="O602" i="8"/>
  <c r="Q602" i="8"/>
  <c r="T602" i="8" s="1"/>
  <c r="R602" i="8"/>
  <c r="S602" i="8"/>
  <c r="U602" i="8"/>
  <c r="O603" i="8"/>
  <c r="P603" i="8"/>
  <c r="T603" i="8"/>
  <c r="U603" i="8"/>
  <c r="O604" i="8"/>
  <c r="P604" i="8"/>
  <c r="T604" i="8"/>
  <c r="U604" i="8"/>
  <c r="L605" i="8"/>
  <c r="M605" i="8"/>
  <c r="N605" i="8"/>
  <c r="O605" i="8"/>
  <c r="P605" i="8"/>
  <c r="Q605" i="8"/>
  <c r="T605" i="8" s="1"/>
  <c r="R605" i="8"/>
  <c r="S605" i="8"/>
  <c r="U605" i="8"/>
  <c r="O606" i="8"/>
  <c r="P606" i="8"/>
  <c r="T606" i="8"/>
  <c r="U606" i="8"/>
  <c r="O607" i="8"/>
  <c r="P607" i="8"/>
  <c r="T607" i="8"/>
  <c r="U607" i="8"/>
  <c r="L617" i="8"/>
  <c r="O617" i="8" s="1"/>
  <c r="M617" i="8"/>
  <c r="N617" i="8"/>
  <c r="Q617" i="8"/>
  <c r="R617" i="8"/>
  <c r="S617" i="8"/>
  <c r="L618" i="8"/>
  <c r="M618" i="8"/>
  <c r="P618" i="8" s="1"/>
  <c r="N618" i="8"/>
  <c r="O618" i="8"/>
  <c r="L619" i="8"/>
  <c r="M619" i="8"/>
  <c r="N619" i="8"/>
  <c r="O619" i="8"/>
  <c r="P619" i="8"/>
  <c r="O620" i="8"/>
  <c r="P620" i="8"/>
  <c r="T620" i="8"/>
  <c r="U620" i="8"/>
  <c r="O621" i="8"/>
  <c r="P621" i="8"/>
  <c r="Q621" i="8"/>
  <c r="Q619" i="8" s="1"/>
  <c r="R621" i="8"/>
  <c r="R618" i="8" s="1"/>
  <c r="S621" i="8"/>
  <c r="S619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I615" i="8" s="1"/>
  <c r="I627" i="8"/>
  <c r="K627" i="8" s="1"/>
  <c r="I628" i="8"/>
  <c r="K628" i="8" s="1"/>
  <c r="J632" i="8"/>
  <c r="J626" i="8" s="1"/>
  <c r="J615" i="8" s="1"/>
  <c r="I635" i="8"/>
  <c r="K635" i="8" s="1"/>
  <c r="J635" i="8"/>
  <c r="J636" i="8"/>
  <c r="L643" i="8"/>
  <c r="M643" i="8"/>
  <c r="N643" i="8"/>
  <c r="N642" i="8" s="1"/>
  <c r="P643" i="8"/>
  <c r="Q643" i="8"/>
  <c r="R643" i="8"/>
  <c r="S643" i="8"/>
  <c r="L644" i="8"/>
  <c r="O644" i="8" s="1"/>
  <c r="M644" i="8"/>
  <c r="P644" i="8" s="1"/>
  <c r="N644" i="8"/>
  <c r="L645" i="8"/>
  <c r="M645" i="8"/>
  <c r="P645" i="8" s="1"/>
  <c r="N645" i="8"/>
  <c r="O645" i="8"/>
  <c r="O646" i="8"/>
  <c r="P646" i="8"/>
  <c r="T646" i="8"/>
  <c r="U646" i="8"/>
  <c r="O647" i="8"/>
  <c r="P647" i="8"/>
  <c r="Q647" i="8"/>
  <c r="Q644" i="8" s="1"/>
  <c r="T644" i="8" s="1"/>
  <c r="R647" i="8"/>
  <c r="R645" i="8" s="1"/>
  <c r="U645" i="8" s="1"/>
  <c r="S647" i="8"/>
  <c r="S645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M691" i="8"/>
  <c r="P691" i="8" s="1"/>
  <c r="N691" i="8"/>
  <c r="N690" i="8" s="1"/>
  <c r="Q691" i="8"/>
  <c r="R691" i="8"/>
  <c r="S691" i="8"/>
  <c r="L692" i="8"/>
  <c r="O692" i="8" s="1"/>
  <c r="M692" i="8"/>
  <c r="P692" i="8" s="1"/>
  <c r="N692" i="8"/>
  <c r="L693" i="8"/>
  <c r="M693" i="8"/>
  <c r="N693" i="8"/>
  <c r="O693" i="8"/>
  <c r="P693" i="8"/>
  <c r="O694" i="8"/>
  <c r="P694" i="8"/>
  <c r="T694" i="8"/>
  <c r="U694" i="8"/>
  <c r="O695" i="8"/>
  <c r="P695" i="8"/>
  <c r="Q695" i="8"/>
  <c r="Q692" i="8" s="1"/>
  <c r="T692" i="8" s="1"/>
  <c r="R695" i="8"/>
  <c r="R693" i="8" s="1"/>
  <c r="U693" i="8" s="1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K707" i="8" s="1"/>
  <c r="J707" i="8"/>
  <c r="J689" i="8" s="1"/>
  <c r="J708" i="8"/>
  <c r="K708" i="8"/>
  <c r="I709" i="8"/>
  <c r="K709" i="8" s="1"/>
  <c r="J709" i="8"/>
  <c r="J710" i="8"/>
  <c r="K710" i="8"/>
  <c r="J712" i="8"/>
  <c r="K712" i="8"/>
  <c r="L714" i="8"/>
  <c r="O714" i="8" s="1"/>
  <c r="L715" i="8"/>
  <c r="O715" i="8" s="1"/>
  <c r="M715" i="8"/>
  <c r="M714" i="8" s="1"/>
  <c r="P714" i="8" s="1"/>
  <c r="N715" i="8"/>
  <c r="N714" i="8" s="1"/>
  <c r="Q715" i="8"/>
  <c r="R715" i="8"/>
  <c r="R714" i="8" s="1"/>
  <c r="U714" i="8" s="1"/>
  <c r="S715" i="8"/>
  <c r="S714" i="8" s="1"/>
  <c r="T715" i="8"/>
  <c r="U715" i="8"/>
  <c r="L716" i="8"/>
  <c r="O716" i="8" s="1"/>
  <c r="M716" i="8"/>
  <c r="N716" i="8"/>
  <c r="P716" i="8"/>
  <c r="Q716" i="8"/>
  <c r="T716" i="8" s="1"/>
  <c r="R716" i="8"/>
  <c r="U716" i="8" s="1"/>
  <c r="S716" i="8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R720" i="8"/>
  <c r="U720" i="8" s="1"/>
  <c r="S720" i="8"/>
  <c r="T720" i="8"/>
  <c r="O721" i="8"/>
  <c r="P721" i="8"/>
  <c r="T721" i="8"/>
  <c r="U721" i="8"/>
  <c r="O722" i="8"/>
  <c r="P722" i="8"/>
  <c r="T722" i="8"/>
  <c r="U722" i="8"/>
  <c r="I726" i="8"/>
  <c r="J726" i="8"/>
  <c r="I727" i="8"/>
  <c r="K727" i="8" s="1"/>
  <c r="J727" i="8"/>
  <c r="L729" i="8"/>
  <c r="L728" i="8" s="1"/>
  <c r="O728" i="8" s="1"/>
  <c r="M729" i="8"/>
  <c r="M728" i="8" s="1"/>
  <c r="P728" i="8" s="1"/>
  <c r="N729" i="8"/>
  <c r="N728" i="8" s="1"/>
  <c r="O729" i="8"/>
  <c r="Q729" i="8"/>
  <c r="R729" i="8"/>
  <c r="S729" i="8"/>
  <c r="T729" i="8"/>
  <c r="U729" i="8"/>
  <c r="L730" i="8"/>
  <c r="O730" i="8" s="1"/>
  <c r="M730" i="8"/>
  <c r="N730" i="8"/>
  <c r="P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R733" i="8"/>
  <c r="R730" i="8" s="1"/>
  <c r="S733" i="8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N760" i="8"/>
  <c r="L761" i="8"/>
  <c r="O761" i="8" s="1"/>
  <c r="M761" i="8"/>
  <c r="M760" i="8" s="1"/>
  <c r="P760" i="8" s="1"/>
  <c r="N761" i="8"/>
  <c r="P761" i="8"/>
  <c r="Q761" i="8"/>
  <c r="R761" i="8"/>
  <c r="U761" i="8" s="1"/>
  <c r="S761" i="8"/>
  <c r="L762" i="8"/>
  <c r="O762" i="8" s="1"/>
  <c r="M762" i="8"/>
  <c r="P762" i="8" s="1"/>
  <c r="N762" i="8"/>
  <c r="L763" i="8"/>
  <c r="M763" i="8"/>
  <c r="P763" i="8" s="1"/>
  <c r="N763" i="8"/>
  <c r="O763" i="8"/>
  <c r="O764" i="8"/>
  <c r="P764" i="8"/>
  <c r="T764" i="8"/>
  <c r="U764" i="8"/>
  <c r="O765" i="8"/>
  <c r="P765" i="8"/>
  <c r="Q765" i="8"/>
  <c r="Q763" i="8" s="1"/>
  <c r="R765" i="8"/>
  <c r="R763" i="8" s="1"/>
  <c r="S765" i="8"/>
  <c r="L766" i="8"/>
  <c r="O766" i="8" s="1"/>
  <c r="M766" i="8"/>
  <c r="N766" i="8"/>
  <c r="P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O22" i="7"/>
  <c r="Q22" i="7"/>
  <c r="T22" i="7" s="1"/>
  <c r="R22" i="7"/>
  <c r="R19" i="7" s="1"/>
  <c r="S22" i="7"/>
  <c r="L25" i="7"/>
  <c r="O25" i="7" s="1"/>
  <c r="M25" i="7"/>
  <c r="N25" i="7"/>
  <c r="Q25" i="7"/>
  <c r="T25" i="7" s="1"/>
  <c r="R25" i="7"/>
  <c r="U25" i="7" s="1"/>
  <c r="S25" i="7"/>
  <c r="Q26" i="7"/>
  <c r="T26" i="7" s="1"/>
  <c r="R26" i="7"/>
  <c r="R24" i="7" s="1"/>
  <c r="U24" i="7" s="1"/>
  <c r="S26" i="7"/>
  <c r="L45" i="7"/>
  <c r="O45" i="7" s="1"/>
  <c r="M45" i="7"/>
  <c r="P45" i="7" s="1"/>
  <c r="N45" i="7"/>
  <c r="Q45" i="7"/>
  <c r="R45" i="7"/>
  <c r="U45" i="7" s="1"/>
  <c r="S45" i="7"/>
  <c r="T45" i="7"/>
  <c r="Q46" i="7"/>
  <c r="R46" i="7"/>
  <c r="U46" i="7" s="1"/>
  <c r="S46" i="7"/>
  <c r="S44" i="7" s="1"/>
  <c r="T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L50" i="7" s="1"/>
  <c r="O50" i="7" s="1"/>
  <c r="M52" i="7"/>
  <c r="N52" i="7"/>
  <c r="T52" i="7"/>
  <c r="U52" i="7"/>
  <c r="L60" i="7"/>
  <c r="O60" i="7" s="1"/>
  <c r="M60" i="7"/>
  <c r="N60" i="7"/>
  <c r="P60" i="7"/>
  <c r="Q60" i="7"/>
  <c r="R60" i="7"/>
  <c r="U60" i="7" s="1"/>
  <c r="S60" i="7"/>
  <c r="T60" i="7"/>
  <c r="Q61" i="7"/>
  <c r="R61" i="7"/>
  <c r="U61" i="7" s="1"/>
  <c r="S61" i="7"/>
  <c r="T61" i="7"/>
  <c r="Q62" i="7"/>
  <c r="R62" i="7"/>
  <c r="U62" i="7" s="1"/>
  <c r="S62" i="7"/>
  <c r="T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O65" i="7" s="1"/>
  <c r="M67" i="7"/>
  <c r="N67" i="7"/>
  <c r="N65" i="7" s="1"/>
  <c r="T67" i="7"/>
  <c r="U67" i="7"/>
  <c r="L73" i="7"/>
  <c r="O73" i="7" s="1"/>
  <c r="M73" i="7"/>
  <c r="N73" i="7"/>
  <c r="P73" i="7"/>
  <c r="Q73" i="7"/>
  <c r="R73" i="7"/>
  <c r="U73" i="7" s="1"/>
  <c r="S73" i="7"/>
  <c r="O76" i="7"/>
  <c r="P76" i="7"/>
  <c r="T76" i="7"/>
  <c r="U76" i="7"/>
  <c r="L77" i="7"/>
  <c r="O77" i="7" s="1"/>
  <c r="M77" i="7"/>
  <c r="M75" i="7" s="1"/>
  <c r="P75" i="7" s="1"/>
  <c r="N77" i="7"/>
  <c r="N75" i="7" s="1"/>
  <c r="Q77" i="7"/>
  <c r="Q74" i="7" s="1"/>
  <c r="T74" i="7" s="1"/>
  <c r="R77" i="7"/>
  <c r="R75" i="7" s="1"/>
  <c r="U75" i="7" s="1"/>
  <c r="S77" i="7"/>
  <c r="S75" i="7" s="1"/>
  <c r="Q78" i="7"/>
  <c r="R78" i="7"/>
  <c r="U78" i="7" s="1"/>
  <c r="S78" i="7"/>
  <c r="T78" i="7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T80" i="7"/>
  <c r="U80" i="7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O95" i="7" s="1"/>
  <c r="M95" i="7"/>
  <c r="P95" i="7" s="1"/>
  <c r="N95" i="7"/>
  <c r="Q95" i="7"/>
  <c r="R95" i="7"/>
  <c r="U95" i="7" s="1"/>
  <c r="S95" i="7"/>
  <c r="O98" i="7"/>
  <c r="P98" i="7"/>
  <c r="T98" i="7"/>
  <c r="U98" i="7"/>
  <c r="L99" i="7"/>
  <c r="M99" i="7"/>
  <c r="P99" i="7" s="1"/>
  <c r="N99" i="7"/>
  <c r="N97" i="7" s="1"/>
  <c r="Q99" i="7"/>
  <c r="Q96" i="7" s="1"/>
  <c r="T96" i="7" s="1"/>
  <c r="R99" i="7"/>
  <c r="R96" i="7" s="1"/>
  <c r="U96" i="7" s="1"/>
  <c r="S99" i="7"/>
  <c r="S96" i="7" s="1"/>
  <c r="Q100" i="7"/>
  <c r="T100" i="7" s="1"/>
  <c r="R100" i="7"/>
  <c r="S100" i="7"/>
  <c r="U100" i="7"/>
  <c r="O101" i="7"/>
  <c r="P101" i="7"/>
  <c r="T101" i="7"/>
  <c r="U101" i="7"/>
  <c r="L102" i="7"/>
  <c r="L100" i="7" s="1"/>
  <c r="O100" i="7" s="1"/>
  <c r="M102" i="7"/>
  <c r="P102" i="7" s="1"/>
  <c r="N102" i="7"/>
  <c r="N100" i="7" s="1"/>
  <c r="T102" i="7"/>
  <c r="U102" i="7"/>
  <c r="I108" i="7"/>
  <c r="I92" i="7" s="1"/>
  <c r="K92" i="7" s="1"/>
  <c r="I109" i="7"/>
  <c r="K109" i="7" s="1"/>
  <c r="I114" i="7"/>
  <c r="K114" i="7" s="1"/>
  <c r="J116" i="7"/>
  <c r="L118" i="7"/>
  <c r="M118" i="7"/>
  <c r="P118" i="7" s="1"/>
  <c r="N118" i="7"/>
  <c r="Q118" i="7"/>
  <c r="T118" i="7" s="1"/>
  <c r="R118" i="7"/>
  <c r="S118" i="7"/>
  <c r="U118" i="7"/>
  <c r="O121" i="7"/>
  <c r="P121" i="7"/>
  <c r="T121" i="7"/>
  <c r="U121" i="7"/>
  <c r="L122" i="7"/>
  <c r="M122" i="7"/>
  <c r="P122" i="7" s="1"/>
  <c r="N122" i="7"/>
  <c r="N120" i="7" s="1"/>
  <c r="Q122" i="7"/>
  <c r="Q119" i="7" s="1"/>
  <c r="R122" i="7"/>
  <c r="R119" i="7" s="1"/>
  <c r="S122" i="7"/>
  <c r="S120" i="7" s="1"/>
  <c r="Q123" i="7"/>
  <c r="T123" i="7" s="1"/>
  <c r="R123" i="7"/>
  <c r="S123" i="7"/>
  <c r="U123" i="7"/>
  <c r="O124" i="7"/>
  <c r="P124" i="7"/>
  <c r="T124" i="7"/>
  <c r="U124" i="7"/>
  <c r="L125" i="7"/>
  <c r="L123" i="7" s="1"/>
  <c r="O123" i="7" s="1"/>
  <c r="M125" i="7"/>
  <c r="P125" i="7" s="1"/>
  <c r="N125" i="7"/>
  <c r="N123" i="7" s="1"/>
  <c r="T125" i="7"/>
  <c r="U125" i="7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P140" i="7" s="1"/>
  <c r="N140" i="7"/>
  <c r="O140" i="7"/>
  <c r="Q140" i="7"/>
  <c r="R140" i="7"/>
  <c r="S140" i="7"/>
  <c r="U140" i="7"/>
  <c r="O143" i="7"/>
  <c r="P143" i="7"/>
  <c r="T143" i="7"/>
  <c r="U143" i="7"/>
  <c r="L144" i="7"/>
  <c r="L142" i="7" s="1"/>
  <c r="O142" i="7" s="1"/>
  <c r="M144" i="7"/>
  <c r="M142" i="7" s="1"/>
  <c r="P142" i="7" s="1"/>
  <c r="N144" i="7"/>
  <c r="N142" i="7" s="1"/>
  <c r="Q144" i="7"/>
  <c r="T144" i="7" s="1"/>
  <c r="R144" i="7"/>
  <c r="R142" i="7" s="1"/>
  <c r="U142" i="7" s="1"/>
  <c r="S144" i="7"/>
  <c r="S142" i="7" s="1"/>
  <c r="Q145" i="7"/>
  <c r="T145" i="7" s="1"/>
  <c r="R145" i="7"/>
  <c r="U145" i="7" s="1"/>
  <c r="S145" i="7"/>
  <c r="O146" i="7"/>
  <c r="P146" i="7"/>
  <c r="T146" i="7"/>
  <c r="U146" i="7"/>
  <c r="L147" i="7"/>
  <c r="O147" i="7" s="1"/>
  <c r="M147" i="7"/>
  <c r="P147" i="7" s="1"/>
  <c r="N147" i="7"/>
  <c r="N145" i="7" s="1"/>
  <c r="T147" i="7"/>
  <c r="U147" i="7"/>
  <c r="I150" i="7"/>
  <c r="K150" i="7" s="1"/>
  <c r="I151" i="7"/>
  <c r="K151" i="7" s="1"/>
  <c r="I152" i="7"/>
  <c r="I153" i="7"/>
  <c r="I154" i="7"/>
  <c r="I136" i="7" s="1"/>
  <c r="K136" i="7" s="1"/>
  <c r="J156" i="7"/>
  <c r="L158" i="7"/>
  <c r="M158" i="7"/>
  <c r="P158" i="7" s="1"/>
  <c r="N158" i="7"/>
  <c r="O158" i="7"/>
  <c r="Q158" i="7"/>
  <c r="T158" i="7" s="1"/>
  <c r="R158" i="7"/>
  <c r="S158" i="7"/>
  <c r="U158" i="7"/>
  <c r="O161" i="7"/>
  <c r="P161" i="7"/>
  <c r="T161" i="7"/>
  <c r="U161" i="7"/>
  <c r="L162" i="7"/>
  <c r="L160" i="7" s="1"/>
  <c r="O160" i="7" s="1"/>
  <c r="M162" i="7"/>
  <c r="P162" i="7" s="1"/>
  <c r="N162" i="7"/>
  <c r="Q162" i="7"/>
  <c r="Q160" i="7" s="1"/>
  <c r="T160" i="7" s="1"/>
  <c r="R162" i="7"/>
  <c r="R160" i="7" s="1"/>
  <c r="U160" i="7" s="1"/>
  <c r="S162" i="7"/>
  <c r="S159" i="7" s="1"/>
  <c r="S157" i="7" s="1"/>
  <c r="Q163" i="7"/>
  <c r="T163" i="7" s="1"/>
  <c r="R163" i="7"/>
  <c r="S163" i="7"/>
  <c r="U163" i="7"/>
  <c r="O164" i="7"/>
  <c r="P164" i="7"/>
  <c r="T164" i="7"/>
  <c r="U164" i="7"/>
  <c r="L165" i="7"/>
  <c r="L163" i="7" s="1"/>
  <c r="O163" i="7" s="1"/>
  <c r="M165" i="7"/>
  <c r="N165" i="7"/>
  <c r="N163" i="7" s="1"/>
  <c r="T165" i="7"/>
  <c r="U165" i="7"/>
  <c r="I167" i="7"/>
  <c r="K167" i="7" s="1"/>
  <c r="I168" i="7"/>
  <c r="K168" i="7" s="1"/>
  <c r="I169" i="7"/>
  <c r="J172" i="7"/>
  <c r="L174" i="7"/>
  <c r="O174" i="7" s="1"/>
  <c r="M174" i="7"/>
  <c r="N174" i="7"/>
  <c r="Q174" i="7"/>
  <c r="T174" i="7" s="1"/>
  <c r="R174" i="7"/>
  <c r="S174" i="7"/>
  <c r="O177" i="7"/>
  <c r="P177" i="7"/>
  <c r="T177" i="7"/>
  <c r="U177" i="7"/>
  <c r="L178" i="7"/>
  <c r="L176" i="7" s="1"/>
  <c r="M178" i="7"/>
  <c r="M176" i="7" s="1"/>
  <c r="N178" i="7"/>
  <c r="N176" i="7" s="1"/>
  <c r="Q178" i="7"/>
  <c r="Q176" i="7" s="1"/>
  <c r="T176" i="7" s="1"/>
  <c r="R178" i="7"/>
  <c r="S178" i="7"/>
  <c r="S176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N179" i="7" s="1"/>
  <c r="T181" i="7"/>
  <c r="U181" i="7"/>
  <c r="I183" i="7"/>
  <c r="K183" i="7" s="1"/>
  <c r="K184" i="7"/>
  <c r="L187" i="7"/>
  <c r="O187" i="7" s="1"/>
  <c r="M187" i="7"/>
  <c r="N187" i="7"/>
  <c r="P187" i="7"/>
  <c r="Q187" i="7"/>
  <c r="R187" i="7"/>
  <c r="U187" i="7" s="1"/>
  <c r="S187" i="7"/>
  <c r="T187" i="7"/>
  <c r="O190" i="7"/>
  <c r="P190" i="7"/>
  <c r="T190" i="7"/>
  <c r="U190" i="7"/>
  <c r="L191" i="7"/>
  <c r="L189" i="7" s="1"/>
  <c r="M191" i="7"/>
  <c r="N191" i="7"/>
  <c r="Q191" i="7"/>
  <c r="Q188" i="7" s="1"/>
  <c r="R191" i="7"/>
  <c r="S191" i="7"/>
  <c r="S189" i="7" s="1"/>
  <c r="Q192" i="7"/>
  <c r="R192" i="7"/>
  <c r="U192" i="7" s="1"/>
  <c r="S192" i="7"/>
  <c r="T192" i="7"/>
  <c r="O193" i="7"/>
  <c r="P193" i="7"/>
  <c r="T193" i="7"/>
  <c r="U193" i="7"/>
  <c r="L194" i="7"/>
  <c r="O194" i="7" s="1"/>
  <c r="M194" i="7"/>
  <c r="P194" i="7" s="1"/>
  <c r="N194" i="7"/>
  <c r="N192" i="7" s="1"/>
  <c r="T194" i="7"/>
  <c r="U194" i="7"/>
  <c r="J195" i="7"/>
  <c r="L196" i="7"/>
  <c r="O196" i="7" s="1"/>
  <c r="P196" i="7"/>
  <c r="I198" i="7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21" i="7" s="1"/>
  <c r="I230" i="7"/>
  <c r="K230" i="7" s="1"/>
  <c r="N233" i="7"/>
  <c r="N234" i="7"/>
  <c r="N235" i="7"/>
  <c r="N236" i="7"/>
  <c r="J238" i="7"/>
  <c r="I240" i="7"/>
  <c r="K240" i="7" s="1"/>
  <c r="J240" i="7"/>
  <c r="I241" i="7"/>
  <c r="J241" i="7"/>
  <c r="K241" i="7"/>
  <c r="J242" i="7"/>
  <c r="J231" i="7" s="1"/>
  <c r="J185" i="7" s="1"/>
  <c r="N243" i="7"/>
  <c r="N232" i="7" s="1"/>
  <c r="P243" i="7"/>
  <c r="L244" i="7"/>
  <c r="L245" i="7"/>
  <c r="L246" i="7"/>
  <c r="L247" i="7"/>
  <c r="I249" i="7"/>
  <c r="K249" i="7" s="1"/>
  <c r="K251" i="7"/>
  <c r="K252" i="7"/>
  <c r="J253" i="7"/>
  <c r="N254" i="7"/>
  <c r="P254" i="7"/>
  <c r="L255" i="7"/>
  <c r="L256" i="7"/>
  <c r="L257" i="7"/>
  <c r="L258" i="7"/>
  <c r="I260" i="7"/>
  <c r="K262" i="7"/>
  <c r="K263" i="7"/>
  <c r="J265" i="7"/>
  <c r="L267" i="7"/>
  <c r="M267" i="7"/>
  <c r="P267" i="7" s="1"/>
  <c r="N267" i="7"/>
  <c r="Q267" i="7"/>
  <c r="T267" i="7" s="1"/>
  <c r="R267" i="7"/>
  <c r="S267" i="7"/>
  <c r="O270" i="7"/>
  <c r="P270" i="7"/>
  <c r="T270" i="7"/>
  <c r="U270" i="7"/>
  <c r="L271" i="7"/>
  <c r="L269" i="7" s="1"/>
  <c r="O269" i="7" s="1"/>
  <c r="M271" i="7"/>
  <c r="N271" i="7"/>
  <c r="Q271" i="7"/>
  <c r="R271" i="7"/>
  <c r="R269" i="7" s="1"/>
  <c r="S271" i="7"/>
  <c r="S269" i="7" s="1"/>
  <c r="Q272" i="7"/>
  <c r="T272" i="7" s="1"/>
  <c r="R272" i="7"/>
  <c r="U272" i="7" s="1"/>
  <c r="S272" i="7"/>
  <c r="O273" i="7"/>
  <c r="P273" i="7"/>
  <c r="T273" i="7"/>
  <c r="U273" i="7"/>
  <c r="L274" i="7"/>
  <c r="L272" i="7" s="1"/>
  <c r="O272" i="7" s="1"/>
  <c r="M274" i="7"/>
  <c r="N274" i="7"/>
  <c r="N272" i="7" s="1"/>
  <c r="T274" i="7"/>
  <c r="U274" i="7"/>
  <c r="I276" i="7"/>
  <c r="I265" i="7" s="1"/>
  <c r="K265" i="7" s="1"/>
  <c r="J281" i="7"/>
  <c r="L283" i="7"/>
  <c r="O283" i="7" s="1"/>
  <c r="M283" i="7"/>
  <c r="N283" i="7"/>
  <c r="Q283" i="7"/>
  <c r="T283" i="7" s="1"/>
  <c r="R283" i="7"/>
  <c r="S283" i="7"/>
  <c r="Q284" i="7"/>
  <c r="T284" i="7" s="1"/>
  <c r="R284" i="7"/>
  <c r="S284" i="7"/>
  <c r="U284" i="7"/>
  <c r="Q285" i="7"/>
  <c r="T285" i="7" s="1"/>
  <c r="R285" i="7"/>
  <c r="S285" i="7"/>
  <c r="U285" i="7"/>
  <c r="O286" i="7"/>
  <c r="P286" i="7"/>
  <c r="T286" i="7"/>
  <c r="U286" i="7"/>
  <c r="L287" i="7"/>
  <c r="L285" i="7" s="1"/>
  <c r="O285" i="7" s="1"/>
  <c r="M287" i="7"/>
  <c r="N287" i="7"/>
  <c r="N285" i="7" s="1"/>
  <c r="T287" i="7"/>
  <c r="U287" i="7"/>
  <c r="Q288" i="7"/>
  <c r="R288" i="7"/>
  <c r="U288" i="7" s="1"/>
  <c r="S288" i="7"/>
  <c r="T288" i="7"/>
  <c r="O289" i="7"/>
  <c r="P289" i="7"/>
  <c r="T289" i="7"/>
  <c r="U289" i="7"/>
  <c r="L290" i="7"/>
  <c r="O290" i="7" s="1"/>
  <c r="M290" i="7"/>
  <c r="P290" i="7" s="1"/>
  <c r="N290" i="7"/>
  <c r="N288" i="7" s="1"/>
  <c r="T290" i="7"/>
  <c r="U290" i="7"/>
  <c r="I292" i="7"/>
  <c r="K292" i="7" s="1"/>
  <c r="I293" i="7"/>
  <c r="I280" i="7" s="1"/>
  <c r="K280" i="7" s="1"/>
  <c r="J293" i="7"/>
  <c r="J280" i="7" s="1"/>
  <c r="I295" i="7"/>
  <c r="K295" i="7" s="1"/>
  <c r="I296" i="7"/>
  <c r="K296" i="7" s="1"/>
  <c r="J302" i="7"/>
  <c r="L304" i="7"/>
  <c r="O304" i="7" s="1"/>
  <c r="M304" i="7"/>
  <c r="N304" i="7"/>
  <c r="Q304" i="7"/>
  <c r="T304" i="7" s="1"/>
  <c r="R304" i="7"/>
  <c r="U304" i="7" s="1"/>
  <c r="S304" i="7"/>
  <c r="O307" i="7"/>
  <c r="P307" i="7"/>
  <c r="T307" i="7"/>
  <c r="U307" i="7"/>
  <c r="L308" i="7"/>
  <c r="L306" i="7" s="1"/>
  <c r="O306" i="7" s="1"/>
  <c r="M308" i="7"/>
  <c r="M306" i="7" s="1"/>
  <c r="P306" i="7" s="1"/>
  <c r="N308" i="7"/>
  <c r="N306" i="7" s="1"/>
  <c r="Q308" i="7"/>
  <c r="R308" i="7"/>
  <c r="R305" i="7" s="1"/>
  <c r="S308" i="7"/>
  <c r="S306" i="7" s="1"/>
  <c r="Q309" i="7"/>
  <c r="T309" i="7" s="1"/>
  <c r="R309" i="7"/>
  <c r="S309" i="7"/>
  <c r="U309" i="7"/>
  <c r="O310" i="7"/>
  <c r="P310" i="7"/>
  <c r="T310" i="7"/>
  <c r="U310" i="7"/>
  <c r="L311" i="7"/>
  <c r="O311" i="7" s="1"/>
  <c r="M311" i="7"/>
  <c r="N311" i="7"/>
  <c r="N309" i="7" s="1"/>
  <c r="T311" i="7"/>
  <c r="U311" i="7"/>
  <c r="I314" i="7"/>
  <c r="J319" i="7"/>
  <c r="L321" i="7"/>
  <c r="M321" i="7"/>
  <c r="P321" i="7" s="1"/>
  <c r="N321" i="7"/>
  <c r="Q321" i="7"/>
  <c r="R321" i="7"/>
  <c r="U321" i="7" s="1"/>
  <c r="S321" i="7"/>
  <c r="Q322" i="7"/>
  <c r="T322" i="7" s="1"/>
  <c r="R322" i="7"/>
  <c r="U322" i="7" s="1"/>
  <c r="S322" i="7"/>
  <c r="S320" i="7" s="1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P325" i="7" s="1"/>
  <c r="N325" i="7"/>
  <c r="T325" i="7"/>
  <c r="U325" i="7"/>
  <c r="Q326" i="7"/>
  <c r="T326" i="7" s="1"/>
  <c r="R326" i="7"/>
  <c r="S326" i="7"/>
  <c r="U326" i="7"/>
  <c r="O327" i="7"/>
  <c r="P327" i="7"/>
  <c r="T327" i="7"/>
  <c r="U327" i="7"/>
  <c r="L328" i="7"/>
  <c r="M328" i="7"/>
  <c r="P328" i="7" s="1"/>
  <c r="N328" i="7"/>
  <c r="N326" i="7" s="1"/>
  <c r="T328" i="7"/>
  <c r="U328" i="7"/>
  <c r="I330" i="7"/>
  <c r="I319" i="7" s="1"/>
  <c r="K319" i="7" s="1"/>
  <c r="L334" i="7"/>
  <c r="M334" i="7"/>
  <c r="P334" i="7" s="1"/>
  <c r="N334" i="7"/>
  <c r="Q334" i="7"/>
  <c r="Q333" i="7" s="1"/>
  <c r="T333" i="7" s="1"/>
  <c r="R334" i="7"/>
  <c r="R333" i="7" s="1"/>
  <c r="U333" i="7" s="1"/>
  <c r="S334" i="7"/>
  <c r="U334" i="7"/>
  <c r="Q335" i="7"/>
  <c r="T335" i="7" s="1"/>
  <c r="R335" i="7"/>
  <c r="S335" i="7"/>
  <c r="U335" i="7"/>
  <c r="Q336" i="7"/>
  <c r="T336" i="7" s="1"/>
  <c r="R336" i="7"/>
  <c r="U336" i="7" s="1"/>
  <c r="S336" i="7"/>
  <c r="O337" i="7"/>
  <c r="P337" i="7"/>
  <c r="T337" i="7"/>
  <c r="U337" i="7"/>
  <c r="L338" i="7"/>
  <c r="M338" i="7"/>
  <c r="M336" i="7" s="1"/>
  <c r="N338" i="7"/>
  <c r="T338" i="7"/>
  <c r="U338" i="7"/>
  <c r="Q339" i="7"/>
  <c r="R339" i="7"/>
  <c r="U339" i="7" s="1"/>
  <c r="S339" i="7"/>
  <c r="T339" i="7"/>
  <c r="O340" i="7"/>
  <c r="P340" i="7"/>
  <c r="T340" i="7"/>
  <c r="U340" i="7"/>
  <c r="L341" i="7"/>
  <c r="O341" i="7" s="1"/>
  <c r="M341" i="7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O357" i="7" s="1"/>
  <c r="M357" i="7"/>
  <c r="P357" i="7" s="1"/>
  <c r="N357" i="7"/>
  <c r="Q357" i="7"/>
  <c r="R357" i="7"/>
  <c r="S357" i="7"/>
  <c r="Q358" i="7"/>
  <c r="R358" i="7"/>
  <c r="U358" i="7" s="1"/>
  <c r="S358" i="7"/>
  <c r="T358" i="7"/>
  <c r="Q359" i="7"/>
  <c r="T359" i="7" s="1"/>
  <c r="R359" i="7"/>
  <c r="S359" i="7"/>
  <c r="U359" i="7"/>
  <c r="O360" i="7"/>
  <c r="P360" i="7"/>
  <c r="T360" i="7"/>
  <c r="U360" i="7"/>
  <c r="L361" i="7"/>
  <c r="L359" i="7" s="1"/>
  <c r="M361" i="7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O364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I365" i="7" s="1"/>
  <c r="J371" i="7"/>
  <c r="J372" i="7"/>
  <c r="K372" i="7"/>
  <c r="D373" i="7"/>
  <c r="L376" i="7"/>
  <c r="O376" i="7" s="1"/>
  <c r="M376" i="7"/>
  <c r="M375" i="7" s="1"/>
  <c r="P375" i="7" s="1"/>
  <c r="N376" i="7"/>
  <c r="Q376" i="7"/>
  <c r="T376" i="7" s="1"/>
  <c r="R376" i="7"/>
  <c r="U376" i="7" s="1"/>
  <c r="S376" i="7"/>
  <c r="L377" i="7"/>
  <c r="L375" i="7" s="1"/>
  <c r="O375" i="7" s="1"/>
  <c r="M377" i="7"/>
  <c r="N377" i="7"/>
  <c r="N375" i="7" s="1"/>
  <c r="P377" i="7"/>
  <c r="L378" i="7"/>
  <c r="O378" i="7" s="1"/>
  <c r="M378" i="7"/>
  <c r="P378" i="7" s="1"/>
  <c r="N378" i="7"/>
  <c r="O379" i="7"/>
  <c r="P379" i="7"/>
  <c r="T379" i="7"/>
  <c r="U379" i="7"/>
  <c r="O380" i="7"/>
  <c r="P380" i="7"/>
  <c r="Q380" i="7"/>
  <c r="R380" i="7"/>
  <c r="R378" i="7" s="1"/>
  <c r="U378" i="7" s="1"/>
  <c r="S380" i="7"/>
  <c r="S378" i="7" s="1"/>
  <c r="L381" i="7"/>
  <c r="M381" i="7"/>
  <c r="P381" i="7" s="1"/>
  <c r="N381" i="7"/>
  <c r="O381" i="7"/>
  <c r="Q381" i="7"/>
  <c r="R381" i="7"/>
  <c r="U381" i="7" s="1"/>
  <c r="S381" i="7"/>
  <c r="T381" i="7"/>
  <c r="O382" i="7"/>
  <c r="P382" i="7"/>
  <c r="T382" i="7"/>
  <c r="U382" i="7"/>
  <c r="O383" i="7"/>
  <c r="P383" i="7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N393" i="7"/>
  <c r="P393" i="7"/>
  <c r="Q393" i="7"/>
  <c r="Q392" i="7" s="1"/>
  <c r="T392" i="7" s="1"/>
  <c r="R393" i="7"/>
  <c r="S393" i="7"/>
  <c r="L394" i="7"/>
  <c r="O394" i="7" s="1"/>
  <c r="M394" i="7"/>
  <c r="M392" i="7" s="1"/>
  <c r="P392" i="7" s="1"/>
  <c r="N394" i="7"/>
  <c r="Q394" i="7"/>
  <c r="T394" i="7" s="1"/>
  <c r="R394" i="7"/>
  <c r="U394" i="7" s="1"/>
  <c r="S394" i="7"/>
  <c r="L395" i="7"/>
  <c r="O395" i="7" s="1"/>
  <c r="M395" i="7"/>
  <c r="P395" i="7" s="1"/>
  <c r="N395" i="7"/>
  <c r="Q395" i="7"/>
  <c r="R395" i="7"/>
  <c r="U395" i="7" s="1"/>
  <c r="S395" i="7"/>
  <c r="T395" i="7"/>
  <c r="O396" i="7"/>
  <c r="P396" i="7"/>
  <c r="T396" i="7"/>
  <c r="U396" i="7"/>
  <c r="O397" i="7"/>
  <c r="P397" i="7"/>
  <c r="T397" i="7"/>
  <c r="U397" i="7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N414" i="7"/>
  <c r="Q414" i="7"/>
  <c r="T414" i="7" s="1"/>
  <c r="R414" i="7"/>
  <c r="S414" i="7"/>
  <c r="L415" i="7"/>
  <c r="M415" i="7"/>
  <c r="P415" i="7" s="1"/>
  <c r="N415" i="7"/>
  <c r="O415" i="7"/>
  <c r="L416" i="7"/>
  <c r="O416" i="7" s="1"/>
  <c r="M416" i="7"/>
  <c r="N416" i="7"/>
  <c r="P416" i="7"/>
  <c r="O417" i="7"/>
  <c r="P417" i="7"/>
  <c r="T417" i="7"/>
  <c r="U417" i="7"/>
  <c r="O418" i="7"/>
  <c r="P418" i="7"/>
  <c r="Q418" i="7"/>
  <c r="R418" i="7"/>
  <c r="R416" i="7" s="1"/>
  <c r="U416" i="7" s="1"/>
  <c r="S418" i="7"/>
  <c r="S415" i="7" s="1"/>
  <c r="L419" i="7"/>
  <c r="O419" i="7" s="1"/>
  <c r="M419" i="7"/>
  <c r="P419" i="7" s="1"/>
  <c r="N419" i="7"/>
  <c r="Q419" i="7"/>
  <c r="R419" i="7"/>
  <c r="U419" i="7" s="1"/>
  <c r="S419" i="7"/>
  <c r="T419" i="7"/>
  <c r="O420" i="7"/>
  <c r="P420" i="7"/>
  <c r="T420" i="7"/>
  <c r="U420" i="7"/>
  <c r="O421" i="7"/>
  <c r="P421" i="7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J440" i="7"/>
  <c r="J423" i="7" s="1"/>
  <c r="J412" i="7" s="1"/>
  <c r="I441" i="7"/>
  <c r="K441" i="7" s="1"/>
  <c r="J446" i="7"/>
  <c r="J447" i="7"/>
  <c r="J441" i="7" s="1"/>
  <c r="I457" i="7"/>
  <c r="I456" i="7" s="1"/>
  <c r="K456" i="7" s="1"/>
  <c r="I458" i="7"/>
  <c r="K458" i="7" s="1"/>
  <c r="J458" i="7"/>
  <c r="J459" i="7"/>
  <c r="J457" i="7" s="1"/>
  <c r="J456" i="7" s="1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J485" i="7"/>
  <c r="K485" i="7"/>
  <c r="N493" i="7"/>
  <c r="L494" i="7"/>
  <c r="M494" i="7"/>
  <c r="N494" i="7"/>
  <c r="O494" i="7"/>
  <c r="Q494" i="7"/>
  <c r="T494" i="7" s="1"/>
  <c r="R494" i="7"/>
  <c r="S494" i="7"/>
  <c r="L495" i="7"/>
  <c r="M495" i="7"/>
  <c r="P495" i="7" s="1"/>
  <c r="N495" i="7"/>
  <c r="O495" i="7"/>
  <c r="L496" i="7"/>
  <c r="O496" i="7" s="1"/>
  <c r="M496" i="7"/>
  <c r="P496" i="7" s="1"/>
  <c r="N496" i="7"/>
  <c r="O497" i="7"/>
  <c r="P497" i="7"/>
  <c r="T497" i="7"/>
  <c r="U497" i="7"/>
  <c r="O498" i="7"/>
  <c r="P498" i="7"/>
  <c r="Q498" i="7"/>
  <c r="R498" i="7"/>
  <c r="R496" i="7" s="1"/>
  <c r="U496" i="7" s="1"/>
  <c r="S498" i="7"/>
  <c r="S495" i="7" s="1"/>
  <c r="L499" i="7"/>
  <c r="O499" i="7" s="1"/>
  <c r="M499" i="7"/>
  <c r="N499" i="7"/>
  <c r="P499" i="7"/>
  <c r="Q499" i="7"/>
  <c r="T499" i="7" s="1"/>
  <c r="R499" i="7"/>
  <c r="U499" i="7" s="1"/>
  <c r="S499" i="7"/>
  <c r="O500" i="7"/>
  <c r="P500" i="7"/>
  <c r="T500" i="7"/>
  <c r="U500" i="7"/>
  <c r="O501" i="7"/>
  <c r="P501" i="7"/>
  <c r="T501" i="7"/>
  <c r="U501" i="7"/>
  <c r="I503" i="7"/>
  <c r="I492" i="7" s="1"/>
  <c r="K492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O514" i="7" s="1"/>
  <c r="M514" i="7"/>
  <c r="P514" i="7" s="1"/>
  <c r="N514" i="7"/>
  <c r="Q514" i="7"/>
  <c r="Q513" i="7" s="1"/>
  <c r="T513" i="7" s="1"/>
  <c r="R514" i="7"/>
  <c r="R513" i="7" s="1"/>
  <c r="U513" i="7" s="1"/>
  <c r="S514" i="7"/>
  <c r="U514" i="7"/>
  <c r="Q515" i="7"/>
  <c r="T515" i="7" s="1"/>
  <c r="R515" i="7"/>
  <c r="U515" i="7" s="1"/>
  <c r="S515" i="7"/>
  <c r="Q516" i="7"/>
  <c r="T516" i="7" s="1"/>
  <c r="R516" i="7"/>
  <c r="U516" i="7" s="1"/>
  <c r="S516" i="7"/>
  <c r="O517" i="7"/>
  <c r="P517" i="7"/>
  <c r="T517" i="7"/>
  <c r="U517" i="7"/>
  <c r="L518" i="7"/>
  <c r="M518" i="7"/>
  <c r="M516" i="7" s="1"/>
  <c r="P516" i="7" s="1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O521" i="7" s="1"/>
  <c r="M521" i="7"/>
  <c r="M519" i="7" s="1"/>
  <c r="P519" i="7" s="1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M534" i="7" s="1"/>
  <c r="P534" i="7" s="1"/>
  <c r="N535" i="7"/>
  <c r="N534" i="7" s="1"/>
  <c r="P535" i="7"/>
  <c r="Q535" i="7"/>
  <c r="R535" i="7"/>
  <c r="U535" i="7" s="1"/>
  <c r="S535" i="7"/>
  <c r="S534" i="7" s="1"/>
  <c r="T535" i="7"/>
  <c r="L536" i="7"/>
  <c r="O536" i="7" s="1"/>
  <c r="M536" i="7"/>
  <c r="N536" i="7"/>
  <c r="P536" i="7"/>
  <c r="Q536" i="7"/>
  <c r="T536" i="7" s="1"/>
  <c r="R536" i="7"/>
  <c r="U536" i="7" s="1"/>
  <c r="S536" i="7"/>
  <c r="L537" i="7"/>
  <c r="O537" i="7" s="1"/>
  <c r="M537" i="7"/>
  <c r="P537" i="7" s="1"/>
  <c r="N537" i="7"/>
  <c r="Q537" i="7"/>
  <c r="T537" i="7" s="1"/>
  <c r="R537" i="7"/>
  <c r="U537" i="7" s="1"/>
  <c r="S537" i="7"/>
  <c r="O538" i="7"/>
  <c r="P538" i="7"/>
  <c r="T538" i="7"/>
  <c r="U538" i="7"/>
  <c r="O539" i="7"/>
  <c r="P539" i="7"/>
  <c r="T539" i="7"/>
  <c r="U539" i="7"/>
  <c r="L540" i="7"/>
  <c r="O540" i="7" s="1"/>
  <c r="M540" i="7"/>
  <c r="N540" i="7"/>
  <c r="P540" i="7"/>
  <c r="Q540" i="7"/>
  <c r="R540" i="7"/>
  <c r="U540" i="7" s="1"/>
  <c r="S540" i="7"/>
  <c r="T540" i="7"/>
  <c r="O541" i="7"/>
  <c r="P541" i="7"/>
  <c r="T541" i="7"/>
  <c r="U541" i="7"/>
  <c r="O542" i="7"/>
  <c r="P542" i="7"/>
  <c r="T542" i="7"/>
  <c r="U542" i="7"/>
  <c r="I554" i="7"/>
  <c r="K554" i="7" s="1"/>
  <c r="J554" i="7"/>
  <c r="L556" i="7"/>
  <c r="M556" i="7"/>
  <c r="P556" i="7" s="1"/>
  <c r="N556" i="7"/>
  <c r="O556" i="7"/>
  <c r="Q556" i="7"/>
  <c r="R556" i="7"/>
  <c r="R555" i="7" s="1"/>
  <c r="U555" i="7" s="1"/>
  <c r="S556" i="7"/>
  <c r="U556" i="7"/>
  <c r="L557" i="7"/>
  <c r="O557" i="7" s="1"/>
  <c r="M557" i="7"/>
  <c r="P557" i="7" s="1"/>
  <c r="N557" i="7"/>
  <c r="Q557" i="7"/>
  <c r="T557" i="7" s="1"/>
  <c r="R557" i="7"/>
  <c r="U557" i="7" s="1"/>
  <c r="S557" i="7"/>
  <c r="S555" i="7" s="1"/>
  <c r="L558" i="7"/>
  <c r="M558" i="7"/>
  <c r="P558" i="7" s="1"/>
  <c r="N558" i="7"/>
  <c r="O558" i="7"/>
  <c r="Q558" i="7"/>
  <c r="R558" i="7"/>
  <c r="U558" i="7" s="1"/>
  <c r="S558" i="7"/>
  <c r="T558" i="7"/>
  <c r="O559" i="7"/>
  <c r="P559" i="7"/>
  <c r="T559" i="7"/>
  <c r="U559" i="7"/>
  <c r="O560" i="7"/>
  <c r="P560" i="7"/>
  <c r="T560" i="7"/>
  <c r="U560" i="7"/>
  <c r="L561" i="7"/>
  <c r="O561" i="7" s="1"/>
  <c r="M561" i="7"/>
  <c r="P561" i="7" s="1"/>
  <c r="N561" i="7"/>
  <c r="Q561" i="7"/>
  <c r="T561" i="7" s="1"/>
  <c r="R561" i="7"/>
  <c r="S561" i="7"/>
  <c r="U561" i="7"/>
  <c r="O562" i="7"/>
  <c r="P562" i="7"/>
  <c r="T562" i="7"/>
  <c r="U562" i="7"/>
  <c r="O563" i="7"/>
  <c r="P563" i="7"/>
  <c r="T563" i="7"/>
  <c r="U563" i="7"/>
  <c r="I575" i="7"/>
  <c r="K575" i="7" s="1"/>
  <c r="J575" i="7"/>
  <c r="L577" i="7"/>
  <c r="M577" i="7"/>
  <c r="N577" i="7"/>
  <c r="Q577" i="7"/>
  <c r="T577" i="7" s="1"/>
  <c r="R577" i="7"/>
  <c r="S577" i="7"/>
  <c r="S576" i="7" s="1"/>
  <c r="L578" i="7"/>
  <c r="O578" i="7" s="1"/>
  <c r="M578" i="7"/>
  <c r="N578" i="7"/>
  <c r="P578" i="7"/>
  <c r="Q578" i="7"/>
  <c r="R578" i="7"/>
  <c r="U578" i="7" s="1"/>
  <c r="S578" i="7"/>
  <c r="T578" i="7"/>
  <c r="L579" i="7"/>
  <c r="O579" i="7" s="1"/>
  <c r="M579" i="7"/>
  <c r="P579" i="7" s="1"/>
  <c r="N579" i="7"/>
  <c r="Q579" i="7"/>
  <c r="T579" i="7" s="1"/>
  <c r="R579" i="7"/>
  <c r="U579" i="7" s="1"/>
  <c r="S579" i="7"/>
  <c r="O580" i="7"/>
  <c r="P580" i="7"/>
  <c r="T580" i="7"/>
  <c r="U580" i="7"/>
  <c r="O581" i="7"/>
  <c r="P581" i="7"/>
  <c r="T581" i="7"/>
  <c r="U581" i="7"/>
  <c r="L582" i="7"/>
  <c r="O582" i="7" s="1"/>
  <c r="M582" i="7"/>
  <c r="N582" i="7"/>
  <c r="P582" i="7"/>
  <c r="Q582" i="7"/>
  <c r="T582" i="7" s="1"/>
  <c r="R582" i="7"/>
  <c r="U582" i="7" s="1"/>
  <c r="S582" i="7"/>
  <c r="O583" i="7"/>
  <c r="P583" i="7"/>
  <c r="T583" i="7"/>
  <c r="U583" i="7"/>
  <c r="O584" i="7"/>
  <c r="P584" i="7"/>
  <c r="T584" i="7"/>
  <c r="U584" i="7"/>
  <c r="M599" i="7"/>
  <c r="P599" i="7" s="1"/>
  <c r="L600" i="7"/>
  <c r="M600" i="7"/>
  <c r="P600" i="7" s="1"/>
  <c r="N600" i="7"/>
  <c r="Q600" i="7"/>
  <c r="T600" i="7" s="1"/>
  <c r="R600" i="7"/>
  <c r="S600" i="7"/>
  <c r="S599" i="7" s="1"/>
  <c r="L601" i="7"/>
  <c r="O601" i="7" s="1"/>
  <c r="M601" i="7"/>
  <c r="N601" i="7"/>
  <c r="P601" i="7"/>
  <c r="Q601" i="7"/>
  <c r="R601" i="7"/>
  <c r="U601" i="7" s="1"/>
  <c r="S601" i="7"/>
  <c r="T601" i="7"/>
  <c r="L602" i="7"/>
  <c r="O602" i="7" s="1"/>
  <c r="M602" i="7"/>
  <c r="P602" i="7" s="1"/>
  <c r="N602" i="7"/>
  <c r="Q602" i="7"/>
  <c r="T602" i="7" s="1"/>
  <c r="R602" i="7"/>
  <c r="U602" i="7" s="1"/>
  <c r="S602" i="7"/>
  <c r="O603" i="7"/>
  <c r="P603" i="7"/>
  <c r="T603" i="7"/>
  <c r="U603" i="7"/>
  <c r="O604" i="7"/>
  <c r="P604" i="7"/>
  <c r="T604" i="7"/>
  <c r="U604" i="7"/>
  <c r="L605" i="7"/>
  <c r="O605" i="7" s="1"/>
  <c r="M605" i="7"/>
  <c r="P605" i="7" s="1"/>
  <c r="N605" i="7"/>
  <c r="Q605" i="7"/>
  <c r="T605" i="7" s="1"/>
  <c r="R605" i="7"/>
  <c r="U605" i="7" s="1"/>
  <c r="S605" i="7"/>
  <c r="O606" i="7"/>
  <c r="P606" i="7"/>
  <c r="T606" i="7"/>
  <c r="U606" i="7"/>
  <c r="O607" i="7"/>
  <c r="P607" i="7"/>
  <c r="T607" i="7"/>
  <c r="U607" i="7"/>
  <c r="L617" i="7"/>
  <c r="L616" i="7" s="1"/>
  <c r="O616" i="7" s="1"/>
  <c r="M617" i="7"/>
  <c r="N617" i="7"/>
  <c r="P617" i="7"/>
  <c r="Q617" i="7"/>
  <c r="R617" i="7"/>
  <c r="S617" i="7"/>
  <c r="U617" i="7"/>
  <c r="L618" i="7"/>
  <c r="O618" i="7" s="1"/>
  <c r="M618" i="7"/>
  <c r="P618" i="7" s="1"/>
  <c r="N618" i="7"/>
  <c r="L619" i="7"/>
  <c r="M619" i="7"/>
  <c r="P619" i="7" s="1"/>
  <c r="N619" i="7"/>
  <c r="O619" i="7"/>
  <c r="O620" i="7"/>
  <c r="P620" i="7"/>
  <c r="T620" i="7"/>
  <c r="U620" i="7"/>
  <c r="O621" i="7"/>
  <c r="P621" i="7"/>
  <c r="Q621" i="7"/>
  <c r="R621" i="7"/>
  <c r="S621" i="7"/>
  <c r="S619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K629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L642" i="7" s="1"/>
  <c r="O642" i="7" s="1"/>
  <c r="M643" i="7"/>
  <c r="P643" i="7" s="1"/>
  <c r="N643" i="7"/>
  <c r="O643" i="7"/>
  <c r="Q643" i="7"/>
  <c r="R643" i="7"/>
  <c r="S643" i="7"/>
  <c r="U643" i="7"/>
  <c r="L644" i="7"/>
  <c r="O644" i="7" s="1"/>
  <c r="M644" i="7"/>
  <c r="N644" i="7"/>
  <c r="P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4" i="7" s="1"/>
  <c r="R647" i="7"/>
  <c r="R645" i="7" s="1"/>
  <c r="S647" i="7"/>
  <c r="S645" i="7" s="1"/>
  <c r="L648" i="7"/>
  <c r="O648" i="7" s="1"/>
  <c r="M648" i="7"/>
  <c r="N648" i="7"/>
  <c r="P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L690" i="7" s="1"/>
  <c r="O690" i="7" s="1"/>
  <c r="M691" i="7"/>
  <c r="N691" i="7"/>
  <c r="P691" i="7"/>
  <c r="Q691" i="7"/>
  <c r="R691" i="7"/>
  <c r="U691" i="7" s="1"/>
  <c r="S691" i="7"/>
  <c r="T691" i="7"/>
  <c r="L692" i="7"/>
  <c r="O692" i="7" s="1"/>
  <c r="M692" i="7"/>
  <c r="N692" i="7"/>
  <c r="P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T693" i="7" s="1"/>
  <c r="R695" i="7"/>
  <c r="R692" i="7" s="1"/>
  <c r="U692" i="7" s="1"/>
  <c r="S695" i="7"/>
  <c r="S693" i="7" s="1"/>
  <c r="L696" i="7"/>
  <c r="M696" i="7"/>
  <c r="P696" i="7" s="1"/>
  <c r="N696" i="7"/>
  <c r="O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K705" i="7" s="1"/>
  <c r="J705" i="7"/>
  <c r="J706" i="7"/>
  <c r="K706" i="7"/>
  <c r="I707" i="7"/>
  <c r="I689" i="7" s="1"/>
  <c r="K689" i="7" s="1"/>
  <c r="J707" i="7"/>
  <c r="J689" i="7" s="1"/>
  <c r="J708" i="7"/>
  <c r="K708" i="7"/>
  <c r="I709" i="7"/>
  <c r="K709" i="7" s="1"/>
  <c r="J709" i="7"/>
  <c r="J710" i="7"/>
  <c r="K710" i="7"/>
  <c r="J712" i="7"/>
  <c r="K712" i="7"/>
  <c r="L715" i="7"/>
  <c r="M715" i="7"/>
  <c r="P715" i="7" s="1"/>
  <c r="N715" i="7"/>
  <c r="N714" i="7" s="1"/>
  <c r="Q715" i="7"/>
  <c r="R715" i="7"/>
  <c r="R714" i="7" s="1"/>
  <c r="U714" i="7" s="1"/>
  <c r="S715" i="7"/>
  <c r="S714" i="7" s="1"/>
  <c r="T715" i="7"/>
  <c r="L716" i="7"/>
  <c r="M716" i="7"/>
  <c r="P716" i="7" s="1"/>
  <c r="N716" i="7"/>
  <c r="O716" i="7"/>
  <c r="Q716" i="7"/>
  <c r="Q714" i="7" s="1"/>
  <c r="T714" i="7" s="1"/>
  <c r="R716" i="7"/>
  <c r="S716" i="7"/>
  <c r="U716" i="7"/>
  <c r="L717" i="7"/>
  <c r="O717" i="7" s="1"/>
  <c r="M717" i="7"/>
  <c r="N717" i="7"/>
  <c r="P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U720" i="7" s="1"/>
  <c r="S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L728" i="7" s="1"/>
  <c r="O728" i="7" s="1"/>
  <c r="M729" i="7"/>
  <c r="P729" i="7" s="1"/>
  <c r="N729" i="7"/>
  <c r="Q729" i="7"/>
  <c r="T729" i="7" s="1"/>
  <c r="R729" i="7"/>
  <c r="S729" i="7"/>
  <c r="L730" i="7"/>
  <c r="O730" i="7" s="1"/>
  <c r="M730" i="7"/>
  <c r="N730" i="7"/>
  <c r="P730" i="7"/>
  <c r="L731" i="7"/>
  <c r="O731" i="7" s="1"/>
  <c r="M731" i="7"/>
  <c r="N731" i="7"/>
  <c r="P731" i="7"/>
  <c r="O732" i="7"/>
  <c r="P732" i="7"/>
  <c r="T732" i="7"/>
  <c r="U732" i="7"/>
  <c r="O733" i="7"/>
  <c r="P733" i="7"/>
  <c r="Q733" i="7"/>
  <c r="Q731" i="7" s="1"/>
  <c r="R733" i="7"/>
  <c r="R730" i="7" s="1"/>
  <c r="S733" i="7"/>
  <c r="S730" i="7" s="1"/>
  <c r="L734" i="7"/>
  <c r="O734" i="7" s="1"/>
  <c r="M734" i="7"/>
  <c r="P734" i="7" s="1"/>
  <c r="N734" i="7"/>
  <c r="Q734" i="7"/>
  <c r="T734" i="7" s="1"/>
  <c r="R734" i="7"/>
  <c r="S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N760" i="7" s="1"/>
  <c r="O761" i="7"/>
  <c r="Q761" i="7"/>
  <c r="R761" i="7"/>
  <c r="U761" i="7" s="1"/>
  <c r="S761" i="7"/>
  <c r="T761" i="7"/>
  <c r="L762" i="7"/>
  <c r="L760" i="7" s="1"/>
  <c r="O760" i="7" s="1"/>
  <c r="M762" i="7"/>
  <c r="N762" i="7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2" i="7" s="1"/>
  <c r="Q760" i="7" s="1"/>
  <c r="R765" i="7"/>
  <c r="R763" i="7" s="1"/>
  <c r="S765" i="7"/>
  <c r="S762" i="7" s="1"/>
  <c r="L766" i="7"/>
  <c r="M766" i="7"/>
  <c r="N766" i="7"/>
  <c r="O766" i="7"/>
  <c r="P766" i="7"/>
  <c r="Q766" i="7"/>
  <c r="T766" i="7" s="1"/>
  <c r="R766" i="7"/>
  <c r="S766" i="7"/>
  <c r="U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65" i="15" l="1"/>
  <c r="O65" i="15" s="1"/>
  <c r="I168" i="15"/>
  <c r="K168" i="15" s="1"/>
  <c r="U378" i="15"/>
  <c r="S619" i="15"/>
  <c r="U619" i="15" s="1"/>
  <c r="M123" i="12"/>
  <c r="P123" i="12" s="1"/>
  <c r="P308" i="15"/>
  <c r="O311" i="15"/>
  <c r="T621" i="15"/>
  <c r="K785" i="14"/>
  <c r="S377" i="15"/>
  <c r="S375" i="15" s="1"/>
  <c r="K292" i="15"/>
  <c r="R763" i="15"/>
  <c r="U763" i="15" s="1"/>
  <c r="T418" i="15"/>
  <c r="K785" i="15"/>
  <c r="Q496" i="15"/>
  <c r="K772" i="15"/>
  <c r="Q306" i="15"/>
  <c r="J701" i="15"/>
  <c r="P274" i="15"/>
  <c r="P191" i="15"/>
  <c r="J351" i="14"/>
  <c r="O194" i="14"/>
  <c r="U162" i="14"/>
  <c r="K368" i="15"/>
  <c r="L145" i="15"/>
  <c r="O145" i="15" s="1"/>
  <c r="Q120" i="15"/>
  <c r="T120" i="15" s="1"/>
  <c r="K220" i="13"/>
  <c r="P189" i="15"/>
  <c r="U731" i="15"/>
  <c r="S730" i="15"/>
  <c r="T730" i="15" s="1"/>
  <c r="K709" i="15"/>
  <c r="O125" i="15"/>
  <c r="Q189" i="14"/>
  <c r="T495" i="15"/>
  <c r="K440" i="15"/>
  <c r="K369" i="15"/>
  <c r="R142" i="15"/>
  <c r="U142" i="15" s="1"/>
  <c r="P77" i="15"/>
  <c r="S496" i="15"/>
  <c r="T496" i="15" s="1"/>
  <c r="S493" i="15"/>
  <c r="K457" i="15"/>
  <c r="O364" i="15"/>
  <c r="L339" i="15"/>
  <c r="O339" i="15" s="1"/>
  <c r="L235" i="15"/>
  <c r="I202" i="15"/>
  <c r="K202" i="15" s="1"/>
  <c r="O306" i="15"/>
  <c r="L236" i="14"/>
  <c r="K783" i="15"/>
  <c r="K780" i="15"/>
  <c r="L326" i="15"/>
  <c r="O326" i="15" s="1"/>
  <c r="K330" i="13"/>
  <c r="J674" i="14"/>
  <c r="T498" i="15"/>
  <c r="S306" i="15"/>
  <c r="U178" i="15"/>
  <c r="L61" i="15"/>
  <c r="L59" i="15" s="1"/>
  <c r="K705" i="14"/>
  <c r="K779" i="15"/>
  <c r="Q731" i="15"/>
  <c r="T731" i="15" s="1"/>
  <c r="J675" i="15"/>
  <c r="I374" i="15"/>
  <c r="L254" i="15"/>
  <c r="O254" i="15" s="1"/>
  <c r="K784" i="14"/>
  <c r="Q693" i="14"/>
  <c r="T693" i="14" s="1"/>
  <c r="Q763" i="15"/>
  <c r="T763" i="15" s="1"/>
  <c r="K705" i="15"/>
  <c r="L288" i="15"/>
  <c r="O288" i="15" s="1"/>
  <c r="S139" i="15"/>
  <c r="R306" i="12"/>
  <c r="U306" i="12" s="1"/>
  <c r="O49" i="13"/>
  <c r="K440" i="14"/>
  <c r="K154" i="14"/>
  <c r="N46" i="14"/>
  <c r="N44" i="14" s="1"/>
  <c r="K781" i="15"/>
  <c r="Q619" i="15"/>
  <c r="Q493" i="15"/>
  <c r="T493" i="15" s="1"/>
  <c r="Q415" i="15"/>
  <c r="T415" i="15" s="1"/>
  <c r="J374" i="15"/>
  <c r="U380" i="15"/>
  <c r="K346" i="15"/>
  <c r="I319" i="15"/>
  <c r="K319" i="15" s="1"/>
  <c r="P194" i="15"/>
  <c r="L192" i="15"/>
  <c r="O192" i="15" s="1"/>
  <c r="T178" i="15"/>
  <c r="R175" i="15"/>
  <c r="U175" i="15" s="1"/>
  <c r="O102" i="15"/>
  <c r="M100" i="15"/>
  <c r="P100" i="15" s="1"/>
  <c r="L96" i="15"/>
  <c r="O96" i="15" s="1"/>
  <c r="L78" i="15"/>
  <c r="O78" i="15" s="1"/>
  <c r="P75" i="15"/>
  <c r="R75" i="15"/>
  <c r="U75" i="15" s="1"/>
  <c r="M309" i="12"/>
  <c r="P309" i="12" s="1"/>
  <c r="K785" i="13"/>
  <c r="T144" i="13"/>
  <c r="T96" i="13"/>
  <c r="P77" i="13"/>
  <c r="M175" i="14"/>
  <c r="M173" i="14" s="1"/>
  <c r="O162" i="14"/>
  <c r="I137" i="14"/>
  <c r="K137" i="14" s="1"/>
  <c r="U122" i="14"/>
  <c r="J674" i="15"/>
  <c r="P325" i="15"/>
  <c r="O308" i="15"/>
  <c r="L234" i="15"/>
  <c r="I213" i="15"/>
  <c r="K213" i="15" s="1"/>
  <c r="Q175" i="15"/>
  <c r="T175" i="15" s="1"/>
  <c r="Q160" i="15"/>
  <c r="T160" i="15" s="1"/>
  <c r="L74" i="15"/>
  <c r="L72" i="15" s="1"/>
  <c r="K457" i="13"/>
  <c r="P147" i="13"/>
  <c r="U693" i="14"/>
  <c r="P361" i="14"/>
  <c r="M179" i="14"/>
  <c r="P179" i="14" s="1"/>
  <c r="P147" i="14"/>
  <c r="O165" i="15"/>
  <c r="Q159" i="15"/>
  <c r="T159" i="15" s="1"/>
  <c r="I136" i="15"/>
  <c r="K136" i="15" s="1"/>
  <c r="M288" i="15"/>
  <c r="P288" i="15" s="1"/>
  <c r="P290" i="15"/>
  <c r="L188" i="15"/>
  <c r="L186" i="15" s="1"/>
  <c r="L189" i="15"/>
  <c r="O189" i="15" s="1"/>
  <c r="O191" i="15"/>
  <c r="N159" i="15"/>
  <c r="N157" i="15" s="1"/>
  <c r="N160" i="15"/>
  <c r="R714" i="15"/>
  <c r="U714" i="15" s="1"/>
  <c r="M690" i="15"/>
  <c r="P690" i="15" s="1"/>
  <c r="L413" i="15"/>
  <c r="O413" i="15" s="1"/>
  <c r="O414" i="15"/>
  <c r="L322" i="15"/>
  <c r="L320" i="15" s="1"/>
  <c r="L323" i="15"/>
  <c r="O323" i="15" s="1"/>
  <c r="O325" i="15"/>
  <c r="N268" i="15"/>
  <c r="N266" i="15" s="1"/>
  <c r="P271" i="15"/>
  <c r="N269" i="15"/>
  <c r="P269" i="15" s="1"/>
  <c r="R188" i="15"/>
  <c r="U188" i="15" s="1"/>
  <c r="U191" i="15"/>
  <c r="P181" i="15"/>
  <c r="M179" i="15"/>
  <c r="P179" i="15" s="1"/>
  <c r="N119" i="15"/>
  <c r="N117" i="15" s="1"/>
  <c r="N120" i="15"/>
  <c r="R19" i="15"/>
  <c r="U19" i="15" s="1"/>
  <c r="U22" i="15"/>
  <c r="U308" i="12"/>
  <c r="P336" i="13"/>
  <c r="K183" i="13"/>
  <c r="K709" i="14"/>
  <c r="R692" i="14"/>
  <c r="R690" i="14" s="1"/>
  <c r="S415" i="14"/>
  <c r="S413" i="14" s="1"/>
  <c r="K368" i="14"/>
  <c r="R269" i="14"/>
  <c r="U269" i="14" s="1"/>
  <c r="L235" i="14"/>
  <c r="T188" i="14"/>
  <c r="K778" i="15"/>
  <c r="S692" i="15"/>
  <c r="S690" i="15" s="1"/>
  <c r="S693" i="15"/>
  <c r="T693" i="15" s="1"/>
  <c r="L690" i="15"/>
  <c r="O690" i="15" s="1"/>
  <c r="R645" i="15"/>
  <c r="U645" i="15" s="1"/>
  <c r="K423" i="15"/>
  <c r="I412" i="15"/>
  <c r="K412" i="15" s="1"/>
  <c r="Q320" i="15"/>
  <c r="T320" i="15" s="1"/>
  <c r="O162" i="15"/>
  <c r="N141" i="15"/>
  <c r="N139" i="15" s="1"/>
  <c r="R94" i="15"/>
  <c r="U94" i="15" s="1"/>
  <c r="U95" i="15"/>
  <c r="L75" i="15"/>
  <c r="O75" i="15" s="1"/>
  <c r="N62" i="15"/>
  <c r="P62" i="15" s="1"/>
  <c r="P64" i="15"/>
  <c r="R59" i="15"/>
  <c r="U59" i="15" s="1"/>
  <c r="N141" i="14"/>
  <c r="N139" i="14" s="1"/>
  <c r="I759" i="15"/>
  <c r="K759" i="15" s="1"/>
  <c r="L728" i="15"/>
  <c r="O728" i="15" s="1"/>
  <c r="U692" i="15"/>
  <c r="R644" i="15"/>
  <c r="N359" i="15"/>
  <c r="P359" i="15" s="1"/>
  <c r="P361" i="15"/>
  <c r="M326" i="15"/>
  <c r="P326" i="15" s="1"/>
  <c r="P328" i="15"/>
  <c r="M322" i="15"/>
  <c r="M320" i="15" s="1"/>
  <c r="U174" i="15"/>
  <c r="M78" i="15"/>
  <c r="P78" i="15" s="1"/>
  <c r="P80" i="15"/>
  <c r="P165" i="11"/>
  <c r="U695" i="14"/>
  <c r="J374" i="14"/>
  <c r="S176" i="14"/>
  <c r="K782" i="15"/>
  <c r="Q392" i="15"/>
  <c r="T392" i="15" s="1"/>
  <c r="T393" i="15"/>
  <c r="I83" i="15"/>
  <c r="I71" i="15" s="1"/>
  <c r="K71" i="15" s="1"/>
  <c r="T26" i="15"/>
  <c r="Q24" i="15"/>
  <c r="T24" i="15" s="1"/>
  <c r="K781" i="13"/>
  <c r="K778" i="13"/>
  <c r="K781" i="14"/>
  <c r="K707" i="14"/>
  <c r="T695" i="14"/>
  <c r="K630" i="14"/>
  <c r="Q378" i="14"/>
  <c r="K369" i="14"/>
  <c r="P191" i="14"/>
  <c r="S120" i="14"/>
  <c r="U120" i="14" s="1"/>
  <c r="Q94" i="14"/>
  <c r="K784" i="15"/>
  <c r="K758" i="15"/>
  <c r="K727" i="15"/>
  <c r="P691" i="15"/>
  <c r="K631" i="15"/>
  <c r="K626" i="15"/>
  <c r="K632" i="15"/>
  <c r="K630" i="15"/>
  <c r="R189" i="15"/>
  <c r="L50" i="15"/>
  <c r="O50" i="15" s="1"/>
  <c r="O52" i="15"/>
  <c r="S714" i="15"/>
  <c r="L714" i="15"/>
  <c r="O714" i="15" s="1"/>
  <c r="J702" i="15"/>
  <c r="I689" i="15"/>
  <c r="K689" i="15" s="1"/>
  <c r="S576" i="15"/>
  <c r="L576" i="15"/>
  <c r="O576" i="15" s="1"/>
  <c r="R534" i="15"/>
  <c r="U534" i="15" s="1"/>
  <c r="L516" i="15"/>
  <c r="O516" i="15" s="1"/>
  <c r="J458" i="15"/>
  <c r="N392" i="15"/>
  <c r="R377" i="15"/>
  <c r="J332" i="15"/>
  <c r="N305" i="15"/>
  <c r="N303" i="15" s="1"/>
  <c r="I302" i="15"/>
  <c r="K302" i="15" s="1"/>
  <c r="U283" i="15"/>
  <c r="K276" i="15"/>
  <c r="L272" i="15"/>
  <c r="O272" i="15" s="1"/>
  <c r="M268" i="15"/>
  <c r="M266" i="15" s="1"/>
  <c r="S269" i="15"/>
  <c r="K260" i="15"/>
  <c r="Q186" i="15"/>
  <c r="Q189" i="15"/>
  <c r="K172" i="15"/>
  <c r="I169" i="15"/>
  <c r="K169" i="15" s="1"/>
  <c r="P162" i="15"/>
  <c r="S160" i="15"/>
  <c r="S157" i="15"/>
  <c r="U144" i="15"/>
  <c r="U122" i="15"/>
  <c r="U99" i="15"/>
  <c r="M96" i="15"/>
  <c r="P96" i="15" s="1"/>
  <c r="S97" i="15"/>
  <c r="S59" i="15"/>
  <c r="Q59" i="15"/>
  <c r="T59" i="15" s="1"/>
  <c r="P49" i="15"/>
  <c r="R576" i="15"/>
  <c r="U576" i="15" s="1"/>
  <c r="O361" i="15"/>
  <c r="L335" i="15"/>
  <c r="L333" i="15" s="1"/>
  <c r="N232" i="15"/>
  <c r="L203" i="15"/>
  <c r="O203" i="15" s="1"/>
  <c r="L141" i="15"/>
  <c r="R44" i="15"/>
  <c r="U44" i="15" s="1"/>
  <c r="S616" i="15"/>
  <c r="S599" i="15"/>
  <c r="M413" i="15"/>
  <c r="P413" i="15" s="1"/>
  <c r="K386" i="15"/>
  <c r="J343" i="15"/>
  <c r="P287" i="15"/>
  <c r="M285" i="15"/>
  <c r="P285" i="15" s="1"/>
  <c r="U271" i="15"/>
  <c r="L236" i="15"/>
  <c r="I156" i="15"/>
  <c r="K156" i="15" s="1"/>
  <c r="L142" i="15"/>
  <c r="U120" i="15"/>
  <c r="U96" i="15"/>
  <c r="R72" i="15"/>
  <c r="P47" i="15"/>
  <c r="N19" i="15"/>
  <c r="O691" i="15"/>
  <c r="Q644" i="15"/>
  <c r="T644" i="15" s="1"/>
  <c r="O577" i="15"/>
  <c r="Q534" i="15"/>
  <c r="T534" i="15" s="1"/>
  <c r="Q513" i="15"/>
  <c r="T513" i="15" s="1"/>
  <c r="S415" i="15"/>
  <c r="S413" i="15" s="1"/>
  <c r="S392" i="15"/>
  <c r="R392" i="15"/>
  <c r="U392" i="15" s="1"/>
  <c r="M375" i="15"/>
  <c r="P375" i="15" s="1"/>
  <c r="L284" i="15"/>
  <c r="L282" i="15" s="1"/>
  <c r="S282" i="15"/>
  <c r="R268" i="15"/>
  <c r="R266" i="15" s="1"/>
  <c r="U266" i="15" s="1"/>
  <c r="L243" i="15"/>
  <c r="L214" i="15"/>
  <c r="O214" i="15" s="1"/>
  <c r="K198" i="15"/>
  <c r="T191" i="15"/>
  <c r="O181" i="15"/>
  <c r="I82" i="15"/>
  <c r="K82" i="15" s="1"/>
  <c r="Q72" i="15"/>
  <c r="L46" i="15"/>
  <c r="L44" i="15" s="1"/>
  <c r="M728" i="15"/>
  <c r="P728" i="15" s="1"/>
  <c r="N714" i="15"/>
  <c r="U695" i="15"/>
  <c r="R693" i="15"/>
  <c r="N690" i="15"/>
  <c r="Q642" i="15"/>
  <c r="T642" i="15" s="1"/>
  <c r="T601" i="15"/>
  <c r="N576" i="15"/>
  <c r="N555" i="15"/>
  <c r="O494" i="15"/>
  <c r="U418" i="15"/>
  <c r="R415" i="15"/>
  <c r="U415" i="15" s="1"/>
  <c r="P323" i="15"/>
  <c r="T308" i="15"/>
  <c r="T268" i="15"/>
  <c r="L222" i="15"/>
  <c r="O222" i="15" s="1"/>
  <c r="M188" i="15"/>
  <c r="M186" i="15" s="1"/>
  <c r="S189" i="15"/>
  <c r="O144" i="15"/>
  <c r="O122" i="15"/>
  <c r="O99" i="15"/>
  <c r="T77" i="15"/>
  <c r="L62" i="15"/>
  <c r="R24" i="15"/>
  <c r="U24" i="15" s="1"/>
  <c r="S19" i="15"/>
  <c r="L19" i="15"/>
  <c r="R760" i="15"/>
  <c r="Q760" i="15"/>
  <c r="Q728" i="15"/>
  <c r="M339" i="15"/>
  <c r="P339" i="15" s="1"/>
  <c r="M335" i="15"/>
  <c r="P118" i="15"/>
  <c r="I83" i="14"/>
  <c r="I71" i="14" s="1"/>
  <c r="K71" i="14" s="1"/>
  <c r="M642" i="15"/>
  <c r="P642" i="15" s="1"/>
  <c r="M519" i="15"/>
  <c r="P519" i="15" s="1"/>
  <c r="K371" i="15"/>
  <c r="P165" i="15"/>
  <c r="M163" i="15"/>
  <c r="P163" i="15" s="1"/>
  <c r="K780" i="14"/>
  <c r="U619" i="14"/>
  <c r="Q495" i="14"/>
  <c r="T495" i="14" s="1"/>
  <c r="K229" i="14"/>
  <c r="L145" i="14"/>
  <c r="O145" i="14" s="1"/>
  <c r="L65" i="14"/>
  <c r="O65" i="14" s="1"/>
  <c r="I701" i="15"/>
  <c r="L642" i="15"/>
  <c r="O642" i="15" s="1"/>
  <c r="L599" i="15"/>
  <c r="O599" i="15" s="1"/>
  <c r="M576" i="15"/>
  <c r="P576" i="15" s="1"/>
  <c r="L534" i="15"/>
  <c r="O534" i="15" s="1"/>
  <c r="L519" i="15"/>
  <c r="O519" i="15" s="1"/>
  <c r="R513" i="15"/>
  <c r="U513" i="15" s="1"/>
  <c r="M493" i="15"/>
  <c r="P493" i="15" s="1"/>
  <c r="U376" i="15"/>
  <c r="T305" i="15"/>
  <c r="O271" i="15"/>
  <c r="L269" i="15"/>
  <c r="O269" i="15" s="1"/>
  <c r="L268" i="15"/>
  <c r="I242" i="15"/>
  <c r="K249" i="15"/>
  <c r="I238" i="15"/>
  <c r="K238" i="15" s="1"/>
  <c r="P178" i="15"/>
  <c r="M175" i="15"/>
  <c r="M173" i="15" s="1"/>
  <c r="R160" i="15"/>
  <c r="U160" i="15" s="1"/>
  <c r="U162" i="15"/>
  <c r="R159" i="15"/>
  <c r="S142" i="15"/>
  <c r="P364" i="15"/>
  <c r="M362" i="15"/>
  <c r="P362" i="15" s="1"/>
  <c r="I138" i="13"/>
  <c r="K138" i="13" s="1"/>
  <c r="Q714" i="15"/>
  <c r="T714" i="15" s="1"/>
  <c r="Q692" i="15"/>
  <c r="R690" i="15"/>
  <c r="S644" i="15"/>
  <c r="S642" i="15" s="1"/>
  <c r="M599" i="15"/>
  <c r="P599" i="15" s="1"/>
  <c r="L375" i="15"/>
  <c r="O375" i="15" s="1"/>
  <c r="O376" i="15"/>
  <c r="Q266" i="15"/>
  <c r="T266" i="15" s="1"/>
  <c r="N175" i="15"/>
  <c r="N173" i="15" s="1"/>
  <c r="N176" i="15"/>
  <c r="P176" i="15" s="1"/>
  <c r="N46" i="12"/>
  <c r="N44" i="12" s="1"/>
  <c r="Q160" i="13"/>
  <c r="T160" i="13" s="1"/>
  <c r="T619" i="14"/>
  <c r="R618" i="14"/>
  <c r="R616" i="14" s="1"/>
  <c r="I615" i="14"/>
  <c r="K615" i="14" s="1"/>
  <c r="S496" i="14"/>
  <c r="O328" i="14"/>
  <c r="U144" i="14"/>
  <c r="R75" i="14"/>
  <c r="U75" i="14" s="1"/>
  <c r="S762" i="15"/>
  <c r="S760" i="15" s="1"/>
  <c r="U733" i="15"/>
  <c r="R730" i="15"/>
  <c r="P729" i="15"/>
  <c r="T695" i="15"/>
  <c r="T643" i="15"/>
  <c r="R618" i="15"/>
  <c r="U618" i="15" s="1"/>
  <c r="T536" i="15"/>
  <c r="L515" i="15"/>
  <c r="O515" i="15" s="1"/>
  <c r="J457" i="15"/>
  <c r="J456" i="15" s="1"/>
  <c r="T414" i="15"/>
  <c r="T376" i="15"/>
  <c r="P311" i="15"/>
  <c r="M309" i="15"/>
  <c r="P309" i="15" s="1"/>
  <c r="P304" i="15"/>
  <c r="R269" i="15"/>
  <c r="T174" i="15"/>
  <c r="Q139" i="15"/>
  <c r="T139" i="15" s="1"/>
  <c r="T140" i="15"/>
  <c r="P52" i="15"/>
  <c r="M26" i="15"/>
  <c r="P26" i="15" s="1"/>
  <c r="M50" i="15"/>
  <c r="P50" i="15" s="1"/>
  <c r="I332" i="15"/>
  <c r="K344" i="15"/>
  <c r="Q117" i="15"/>
  <c r="M534" i="15"/>
  <c r="P534" i="15" s="1"/>
  <c r="M392" i="15"/>
  <c r="P392" i="15" s="1"/>
  <c r="P393" i="15"/>
  <c r="U305" i="15"/>
  <c r="Q282" i="15"/>
  <c r="T282" i="15" s="1"/>
  <c r="T283" i="15"/>
  <c r="I701" i="13"/>
  <c r="K779" i="14"/>
  <c r="K632" i="14"/>
  <c r="M519" i="14"/>
  <c r="P519" i="14" s="1"/>
  <c r="R496" i="14"/>
  <c r="U496" i="14" s="1"/>
  <c r="I456" i="14"/>
  <c r="K456" i="14" s="1"/>
  <c r="M362" i="14"/>
  <c r="P362" i="14" s="1"/>
  <c r="O359" i="14"/>
  <c r="J343" i="14"/>
  <c r="M306" i="14"/>
  <c r="P306" i="14" s="1"/>
  <c r="I195" i="14"/>
  <c r="K195" i="14" s="1"/>
  <c r="P178" i="14"/>
  <c r="T144" i="14"/>
  <c r="Q142" i="14"/>
  <c r="T142" i="14" s="1"/>
  <c r="U765" i="15"/>
  <c r="P761" i="15"/>
  <c r="T733" i="15"/>
  <c r="U729" i="15"/>
  <c r="O729" i="15"/>
  <c r="M714" i="15"/>
  <c r="P714" i="15" s="1"/>
  <c r="K629" i="15"/>
  <c r="U621" i="15"/>
  <c r="Q618" i="15"/>
  <c r="T618" i="15" s="1"/>
  <c r="I615" i="15"/>
  <c r="K615" i="15" s="1"/>
  <c r="R599" i="15"/>
  <c r="U599" i="15" s="1"/>
  <c r="R555" i="15"/>
  <c r="U555" i="15" s="1"/>
  <c r="L555" i="15"/>
  <c r="O555" i="15" s="1"/>
  <c r="N515" i="15"/>
  <c r="N513" i="15" s="1"/>
  <c r="N358" i="15"/>
  <c r="N356" i="15" s="1"/>
  <c r="L358" i="15"/>
  <c r="R356" i="15"/>
  <c r="U356" i="15" s="1"/>
  <c r="P338" i="15"/>
  <c r="R333" i="15"/>
  <c r="U333" i="15" s="1"/>
  <c r="R306" i="15"/>
  <c r="U308" i="15"/>
  <c r="S303" i="15"/>
  <c r="K229" i="15"/>
  <c r="I221" i="15"/>
  <c r="K221" i="15" s="1"/>
  <c r="N188" i="15"/>
  <c r="N186" i="15" s="1"/>
  <c r="P187" i="15"/>
  <c r="M616" i="15"/>
  <c r="P616" i="15" s="1"/>
  <c r="I365" i="15"/>
  <c r="K365" i="15" s="1"/>
  <c r="P77" i="9"/>
  <c r="K705" i="11"/>
  <c r="T99" i="12"/>
  <c r="O178" i="13"/>
  <c r="K772" i="14"/>
  <c r="S692" i="14"/>
  <c r="U498" i="14"/>
  <c r="K346" i="14"/>
  <c r="L141" i="14"/>
  <c r="L139" i="14" s="1"/>
  <c r="O139" i="14" s="1"/>
  <c r="O122" i="14"/>
  <c r="R72" i="14"/>
  <c r="U72" i="14" s="1"/>
  <c r="T765" i="15"/>
  <c r="T647" i="15"/>
  <c r="L616" i="15"/>
  <c r="O616" i="15" s="1"/>
  <c r="Q555" i="15"/>
  <c r="T555" i="15" s="1"/>
  <c r="T556" i="15"/>
  <c r="M555" i="15"/>
  <c r="P555" i="15" s="1"/>
  <c r="P518" i="15"/>
  <c r="M515" i="15"/>
  <c r="P515" i="15" s="1"/>
  <c r="P514" i="15"/>
  <c r="R495" i="15"/>
  <c r="U498" i="15"/>
  <c r="Q378" i="15"/>
  <c r="T378" i="15" s="1"/>
  <c r="Q377" i="15"/>
  <c r="T380" i="15"/>
  <c r="M358" i="15"/>
  <c r="L359" i="15"/>
  <c r="Q356" i="15"/>
  <c r="T356" i="15" s="1"/>
  <c r="N335" i="15"/>
  <c r="N333" i="15" s="1"/>
  <c r="N336" i="15"/>
  <c r="O336" i="15" s="1"/>
  <c r="Q333" i="15"/>
  <c r="T333" i="15" s="1"/>
  <c r="T334" i="15"/>
  <c r="R303" i="15"/>
  <c r="Q303" i="15"/>
  <c r="O187" i="15"/>
  <c r="J503" i="15"/>
  <c r="J351" i="15"/>
  <c r="O338" i="15"/>
  <c r="N284" i="15"/>
  <c r="N282" i="15" s="1"/>
  <c r="M284" i="15"/>
  <c r="T271" i="15"/>
  <c r="Q269" i="15"/>
  <c r="S186" i="15"/>
  <c r="L176" i="15"/>
  <c r="O178" i="15"/>
  <c r="L175" i="15"/>
  <c r="L173" i="15" s="1"/>
  <c r="P67" i="15"/>
  <c r="M65" i="15"/>
  <c r="P65" i="15" s="1"/>
  <c r="N322" i="15"/>
  <c r="M306" i="15"/>
  <c r="P306" i="15" s="1"/>
  <c r="M305" i="15"/>
  <c r="L233" i="15"/>
  <c r="T188" i="15"/>
  <c r="S175" i="15"/>
  <c r="S173" i="15" s="1"/>
  <c r="S176" i="15"/>
  <c r="T158" i="15"/>
  <c r="L305" i="15"/>
  <c r="K293" i="15"/>
  <c r="I280" i="15"/>
  <c r="K280" i="15" s="1"/>
  <c r="O287" i="15"/>
  <c r="L285" i="15"/>
  <c r="O285" i="15" s="1"/>
  <c r="P147" i="15"/>
  <c r="M145" i="15"/>
  <c r="P145" i="15" s="1"/>
  <c r="P144" i="15"/>
  <c r="M142" i="15"/>
  <c r="M141" i="15"/>
  <c r="I116" i="15"/>
  <c r="K116" i="15" s="1"/>
  <c r="K127" i="15"/>
  <c r="K183" i="15"/>
  <c r="U141" i="15"/>
  <c r="R139" i="15"/>
  <c r="U139" i="15" s="1"/>
  <c r="L26" i="15"/>
  <c r="M160" i="15"/>
  <c r="M159" i="15"/>
  <c r="M157" i="15" s="1"/>
  <c r="T144" i="15"/>
  <c r="Q142" i="15"/>
  <c r="T142" i="15" s="1"/>
  <c r="T96" i="15"/>
  <c r="Q94" i="15"/>
  <c r="T94" i="15" s="1"/>
  <c r="P22" i="15"/>
  <c r="M19" i="15"/>
  <c r="L160" i="15"/>
  <c r="L159" i="15"/>
  <c r="I137" i="15"/>
  <c r="K137" i="15" s="1"/>
  <c r="K152" i="15"/>
  <c r="I138" i="15"/>
  <c r="K138" i="15" s="1"/>
  <c r="P125" i="15"/>
  <c r="M123" i="15"/>
  <c r="P123" i="15" s="1"/>
  <c r="T99" i="15"/>
  <c r="Q97" i="15"/>
  <c r="N26" i="15"/>
  <c r="N24" i="15" s="1"/>
  <c r="P25" i="15"/>
  <c r="O19" i="15"/>
  <c r="N142" i="15"/>
  <c r="T122" i="15"/>
  <c r="K109" i="15"/>
  <c r="P99" i="15"/>
  <c r="R97" i="15"/>
  <c r="L97" i="15"/>
  <c r="O97" i="15" s="1"/>
  <c r="I92" i="15"/>
  <c r="K92" i="15" s="1"/>
  <c r="U77" i="15"/>
  <c r="O77" i="15"/>
  <c r="Q75" i="15"/>
  <c r="T75" i="15" s="1"/>
  <c r="O64" i="15"/>
  <c r="N50" i="15"/>
  <c r="O49" i="15"/>
  <c r="N23" i="15"/>
  <c r="S119" i="15"/>
  <c r="S117" i="15" s="1"/>
  <c r="M119" i="15"/>
  <c r="P119" i="15" s="1"/>
  <c r="N74" i="15"/>
  <c r="N61" i="15"/>
  <c r="N46" i="15"/>
  <c r="S23" i="15"/>
  <c r="S20" i="15" s="1"/>
  <c r="S18" i="15" s="1"/>
  <c r="M23" i="15"/>
  <c r="Q19" i="15"/>
  <c r="R119" i="15"/>
  <c r="L119" i="15"/>
  <c r="N96" i="15"/>
  <c r="N94" i="15" s="1"/>
  <c r="S74" i="15"/>
  <c r="S72" i="15" s="1"/>
  <c r="M74" i="15"/>
  <c r="M61" i="15"/>
  <c r="M46" i="15"/>
  <c r="R23" i="15"/>
  <c r="L23" i="15"/>
  <c r="M120" i="15"/>
  <c r="P120" i="15" s="1"/>
  <c r="Q23" i="15"/>
  <c r="K779" i="13"/>
  <c r="J702" i="13"/>
  <c r="P364" i="13"/>
  <c r="J351" i="13"/>
  <c r="K346" i="13"/>
  <c r="R762" i="14"/>
  <c r="R760" i="14" s="1"/>
  <c r="U760" i="14" s="1"/>
  <c r="R763" i="14"/>
  <c r="U763" i="14" s="1"/>
  <c r="M728" i="14"/>
  <c r="P728" i="14" s="1"/>
  <c r="J675" i="14"/>
  <c r="R599" i="14"/>
  <c r="U599" i="14" s="1"/>
  <c r="L576" i="14"/>
  <c r="O576" i="14" s="1"/>
  <c r="O338" i="14"/>
  <c r="S320" i="14"/>
  <c r="P311" i="14"/>
  <c r="M309" i="14"/>
  <c r="P309" i="14" s="1"/>
  <c r="M163" i="14"/>
  <c r="P163" i="14" s="1"/>
  <c r="N159" i="14"/>
  <c r="N157" i="14" s="1"/>
  <c r="N160" i="14"/>
  <c r="K109" i="14"/>
  <c r="I93" i="14"/>
  <c r="K93" i="14" s="1"/>
  <c r="L61" i="14"/>
  <c r="L59" i="14" s="1"/>
  <c r="L62" i="14"/>
  <c r="O62" i="14" s="1"/>
  <c r="L50" i="14"/>
  <c r="O50" i="14" s="1"/>
  <c r="O52" i="14"/>
  <c r="Q19" i="14"/>
  <c r="T19" i="14" s="1"/>
  <c r="T22" i="14"/>
  <c r="P102" i="14"/>
  <c r="M100" i="14"/>
  <c r="P100" i="14" s="1"/>
  <c r="Q72" i="14"/>
  <c r="T72" i="14" s="1"/>
  <c r="T73" i="14"/>
  <c r="S616" i="12"/>
  <c r="J701" i="13"/>
  <c r="Q119" i="13"/>
  <c r="Q117" i="13" s="1"/>
  <c r="T122" i="13"/>
  <c r="Q120" i="13"/>
  <c r="Q763" i="14"/>
  <c r="T763" i="14" s="1"/>
  <c r="T765" i="14"/>
  <c r="Q762" i="14"/>
  <c r="T762" i="14" s="1"/>
  <c r="R714" i="14"/>
  <c r="U714" i="14" s="1"/>
  <c r="O311" i="14"/>
  <c r="L309" i="14"/>
  <c r="O309" i="14" s="1"/>
  <c r="M272" i="14"/>
  <c r="P272" i="14" s="1"/>
  <c r="P274" i="14"/>
  <c r="M75" i="14"/>
  <c r="P75" i="14" s="1"/>
  <c r="P77" i="14"/>
  <c r="R59" i="14"/>
  <c r="U59" i="14" s="1"/>
  <c r="L534" i="14"/>
  <c r="O534" i="14" s="1"/>
  <c r="O535" i="14"/>
  <c r="M119" i="14"/>
  <c r="P119" i="14" s="1"/>
  <c r="M120" i="14"/>
  <c r="P120" i="14" s="1"/>
  <c r="P122" i="14"/>
  <c r="M62" i="14"/>
  <c r="P62" i="14" s="1"/>
  <c r="P64" i="14"/>
  <c r="M519" i="13"/>
  <c r="P519" i="13" s="1"/>
  <c r="J503" i="13"/>
  <c r="J492" i="13" s="1"/>
  <c r="K492" i="13" s="1"/>
  <c r="M123" i="13"/>
  <c r="P123" i="13" s="1"/>
  <c r="P125" i="13"/>
  <c r="U733" i="14"/>
  <c r="R730" i="14"/>
  <c r="R728" i="14" s="1"/>
  <c r="U728" i="14" s="1"/>
  <c r="R731" i="14"/>
  <c r="U495" i="14"/>
  <c r="R493" i="14"/>
  <c r="U493" i="14" s="1"/>
  <c r="I365" i="14"/>
  <c r="K365" i="14" s="1"/>
  <c r="K371" i="14"/>
  <c r="I280" i="14"/>
  <c r="K280" i="14" s="1"/>
  <c r="N268" i="14"/>
  <c r="N266" i="14" s="1"/>
  <c r="N269" i="14"/>
  <c r="M123" i="14"/>
  <c r="P123" i="14" s="1"/>
  <c r="P125" i="14"/>
  <c r="L74" i="14"/>
  <c r="O74" i="14" s="1"/>
  <c r="L75" i="14"/>
  <c r="O75" i="14" s="1"/>
  <c r="O73" i="14"/>
  <c r="S306" i="14"/>
  <c r="S305" i="14"/>
  <c r="S303" i="14" s="1"/>
  <c r="S142" i="12"/>
  <c r="P521" i="13"/>
  <c r="L690" i="14"/>
  <c r="O690" i="14" s="1"/>
  <c r="N534" i="14"/>
  <c r="M515" i="14"/>
  <c r="P515" i="14" s="1"/>
  <c r="M516" i="14"/>
  <c r="P516" i="14" s="1"/>
  <c r="P518" i="14"/>
  <c r="M493" i="14"/>
  <c r="P493" i="14" s="1"/>
  <c r="P494" i="14"/>
  <c r="Q415" i="14"/>
  <c r="T415" i="14" s="1"/>
  <c r="T418" i="14"/>
  <c r="Q356" i="14"/>
  <c r="T356" i="14" s="1"/>
  <c r="T357" i="14"/>
  <c r="M269" i="14"/>
  <c r="P271" i="14"/>
  <c r="K260" i="14"/>
  <c r="I253" i="14"/>
  <c r="K253" i="14" s="1"/>
  <c r="Q175" i="14"/>
  <c r="T175" i="14" s="1"/>
  <c r="Q59" i="14"/>
  <c r="T59" i="14" s="1"/>
  <c r="T60" i="14"/>
  <c r="S24" i="14"/>
  <c r="K785" i="12"/>
  <c r="L516" i="13"/>
  <c r="O516" i="13" s="1"/>
  <c r="L760" i="14"/>
  <c r="O760" i="14" s="1"/>
  <c r="M534" i="14"/>
  <c r="P534" i="14" s="1"/>
  <c r="P535" i="14"/>
  <c r="L516" i="14"/>
  <c r="O516" i="14" s="1"/>
  <c r="O518" i="14"/>
  <c r="N335" i="14"/>
  <c r="N333" i="14" s="1"/>
  <c r="O336" i="14"/>
  <c r="M322" i="14"/>
  <c r="M323" i="14"/>
  <c r="P323" i="14" s="1"/>
  <c r="P325" i="14"/>
  <c r="T308" i="14"/>
  <c r="L305" i="14"/>
  <c r="O305" i="14" s="1"/>
  <c r="L306" i="14"/>
  <c r="O306" i="14" s="1"/>
  <c r="M288" i="14"/>
  <c r="P288" i="14" s="1"/>
  <c r="P290" i="14"/>
  <c r="U271" i="14"/>
  <c r="N119" i="14"/>
  <c r="N117" i="14" s="1"/>
  <c r="N120" i="14"/>
  <c r="S96" i="14"/>
  <c r="U96" i="14" s="1"/>
  <c r="S97" i="14"/>
  <c r="M78" i="14"/>
  <c r="P78" i="14" s="1"/>
  <c r="P80" i="14"/>
  <c r="S19" i="14"/>
  <c r="N175" i="13"/>
  <c r="N173" i="13" s="1"/>
  <c r="T162" i="13"/>
  <c r="S94" i="13"/>
  <c r="K778" i="14"/>
  <c r="S763" i="14"/>
  <c r="N760" i="14"/>
  <c r="K727" i="14"/>
  <c r="S645" i="14"/>
  <c r="K626" i="14"/>
  <c r="M599" i="14"/>
  <c r="P599" i="14" s="1"/>
  <c r="S513" i="14"/>
  <c r="T498" i="14"/>
  <c r="O364" i="14"/>
  <c r="N358" i="14"/>
  <c r="N356" i="14" s="1"/>
  <c r="M326" i="14"/>
  <c r="P326" i="14" s="1"/>
  <c r="S282" i="14"/>
  <c r="L268" i="14"/>
  <c r="L266" i="14" s="1"/>
  <c r="O266" i="14" s="1"/>
  <c r="Q269" i="14"/>
  <c r="T269" i="14" s="1"/>
  <c r="L234" i="14"/>
  <c r="L222" i="14"/>
  <c r="O222" i="14" s="1"/>
  <c r="T191" i="14"/>
  <c r="N175" i="14"/>
  <c r="N173" i="14" s="1"/>
  <c r="M159" i="14"/>
  <c r="S160" i="14"/>
  <c r="R142" i="14"/>
  <c r="U142" i="14" s="1"/>
  <c r="P49" i="14"/>
  <c r="N47" i="14"/>
  <c r="R24" i="14"/>
  <c r="U24" i="14" s="1"/>
  <c r="N19" i="14"/>
  <c r="L236" i="13"/>
  <c r="S173" i="13"/>
  <c r="P165" i="13"/>
  <c r="U77" i="13"/>
  <c r="Q714" i="14"/>
  <c r="T714" i="14" s="1"/>
  <c r="R644" i="14"/>
  <c r="U644" i="14" s="1"/>
  <c r="K631" i="14"/>
  <c r="N616" i="14"/>
  <c r="M576" i="14"/>
  <c r="P576" i="14" s="1"/>
  <c r="R513" i="14"/>
  <c r="U513" i="14" s="1"/>
  <c r="S493" i="14"/>
  <c r="J457" i="14"/>
  <c r="J456" i="14" s="1"/>
  <c r="P359" i="14"/>
  <c r="Q333" i="14"/>
  <c r="T333" i="14" s="1"/>
  <c r="Q320" i="14"/>
  <c r="T320" i="14" s="1"/>
  <c r="M284" i="14"/>
  <c r="M282" i="14" s="1"/>
  <c r="P282" i="14" s="1"/>
  <c r="R282" i="14"/>
  <c r="U282" i="14" s="1"/>
  <c r="L254" i="14"/>
  <c r="O254" i="14" s="1"/>
  <c r="L233" i="14"/>
  <c r="L203" i="14"/>
  <c r="O203" i="14" s="1"/>
  <c r="T122" i="14"/>
  <c r="O47" i="14"/>
  <c r="L235" i="13"/>
  <c r="U96" i="13"/>
  <c r="Q731" i="14"/>
  <c r="J702" i="14"/>
  <c r="N642" i="14"/>
  <c r="M616" i="14"/>
  <c r="P616" i="14" s="1"/>
  <c r="M555" i="14"/>
  <c r="P555" i="14" s="1"/>
  <c r="L358" i="14"/>
  <c r="S356" i="14"/>
  <c r="R303" i="14"/>
  <c r="L288" i="14"/>
  <c r="O288" i="14" s="1"/>
  <c r="L284" i="14"/>
  <c r="O284" i="14" s="1"/>
  <c r="L269" i="14"/>
  <c r="O269" i="14" s="1"/>
  <c r="N176" i="14"/>
  <c r="M160" i="14"/>
  <c r="L142" i="14"/>
  <c r="O142" i="14" s="1"/>
  <c r="M96" i="14"/>
  <c r="P96" i="14" s="1"/>
  <c r="P47" i="14"/>
  <c r="S44" i="14"/>
  <c r="L19" i="14"/>
  <c r="L234" i="13"/>
  <c r="M760" i="14"/>
  <c r="P760" i="14" s="1"/>
  <c r="Q728" i="14"/>
  <c r="T728" i="14" s="1"/>
  <c r="L714" i="14"/>
  <c r="O714" i="14" s="1"/>
  <c r="M690" i="14"/>
  <c r="P690" i="14" s="1"/>
  <c r="S618" i="14"/>
  <c r="S616" i="14" s="1"/>
  <c r="N515" i="14"/>
  <c r="N513" i="14" s="1"/>
  <c r="L493" i="14"/>
  <c r="O493" i="14" s="1"/>
  <c r="N413" i="14"/>
  <c r="R306" i="14"/>
  <c r="O274" i="14"/>
  <c r="O271" i="14"/>
  <c r="L214" i="14"/>
  <c r="O214" i="14" s="1"/>
  <c r="M176" i="14"/>
  <c r="P162" i="14"/>
  <c r="R159" i="14"/>
  <c r="R157" i="14" s="1"/>
  <c r="U157" i="14" s="1"/>
  <c r="O125" i="14"/>
  <c r="Q119" i="14"/>
  <c r="Q117" i="14" s="1"/>
  <c r="L96" i="14"/>
  <c r="O96" i="14" s="1"/>
  <c r="M97" i="14"/>
  <c r="P97" i="14" s="1"/>
  <c r="I82" i="14"/>
  <c r="K82" i="14" s="1"/>
  <c r="N74" i="14"/>
  <c r="N72" i="14" s="1"/>
  <c r="N61" i="14"/>
  <c r="L46" i="14"/>
  <c r="Q44" i="14"/>
  <c r="T44" i="14" s="1"/>
  <c r="R19" i="14"/>
  <c r="Q266" i="14"/>
  <c r="L176" i="14"/>
  <c r="O178" i="14"/>
  <c r="L175" i="14"/>
  <c r="T730" i="14"/>
  <c r="L728" i="14"/>
  <c r="O728" i="14" s="1"/>
  <c r="S555" i="14"/>
  <c r="R176" i="14"/>
  <c r="U176" i="14" s="1"/>
  <c r="U178" i="14"/>
  <c r="R175" i="14"/>
  <c r="L375" i="14"/>
  <c r="O375" i="14" s="1"/>
  <c r="M335" i="14"/>
  <c r="P338" i="14"/>
  <c r="M336" i="14"/>
  <c r="P336" i="14" s="1"/>
  <c r="S142" i="14"/>
  <c r="S141" i="14"/>
  <c r="S139" i="14" s="1"/>
  <c r="J351" i="12"/>
  <c r="N61" i="13"/>
  <c r="N59" i="13" s="1"/>
  <c r="Q599" i="14"/>
  <c r="T599" i="14" s="1"/>
  <c r="P414" i="14"/>
  <c r="M413" i="14"/>
  <c r="P413" i="14" s="1"/>
  <c r="R139" i="14"/>
  <c r="U139" i="14" s="1"/>
  <c r="U141" i="14"/>
  <c r="K368" i="12"/>
  <c r="Q496" i="13"/>
  <c r="O338" i="13"/>
  <c r="M120" i="13"/>
  <c r="P120" i="13" s="1"/>
  <c r="L47" i="13"/>
  <c r="T729" i="14"/>
  <c r="P715" i="14"/>
  <c r="P691" i="14"/>
  <c r="U647" i="14"/>
  <c r="Q644" i="14"/>
  <c r="U621" i="14"/>
  <c r="R576" i="14"/>
  <c r="U576" i="14" s="1"/>
  <c r="R555" i="14"/>
  <c r="U555" i="14" s="1"/>
  <c r="U556" i="14"/>
  <c r="R534" i="14"/>
  <c r="U534" i="14" s="1"/>
  <c r="O414" i="14"/>
  <c r="L413" i="14"/>
  <c r="O413" i="14" s="1"/>
  <c r="R392" i="14"/>
  <c r="U392" i="14" s="1"/>
  <c r="U393" i="14"/>
  <c r="I374" i="14"/>
  <c r="K386" i="14"/>
  <c r="L335" i="14"/>
  <c r="O341" i="14"/>
  <c r="K346" i="12"/>
  <c r="L268" i="13"/>
  <c r="O268" i="13" s="1"/>
  <c r="U357" i="14"/>
  <c r="R356" i="14"/>
  <c r="U356" i="14" s="1"/>
  <c r="L179" i="14"/>
  <c r="O179" i="14" s="1"/>
  <c r="O181" i="14"/>
  <c r="K779" i="11"/>
  <c r="P67" i="12"/>
  <c r="K784" i="13"/>
  <c r="K772" i="13"/>
  <c r="I759" i="13"/>
  <c r="K759" i="13" s="1"/>
  <c r="K727" i="13"/>
  <c r="L335" i="13"/>
  <c r="L333" i="13" s="1"/>
  <c r="L322" i="13"/>
  <c r="L320" i="13" s="1"/>
  <c r="P290" i="13"/>
  <c r="S266" i="13"/>
  <c r="M179" i="13"/>
  <c r="P179" i="13" s="1"/>
  <c r="M175" i="13"/>
  <c r="M173" i="13" s="1"/>
  <c r="S176" i="13"/>
  <c r="K127" i="13"/>
  <c r="S117" i="13"/>
  <c r="S97" i="13"/>
  <c r="P80" i="13"/>
  <c r="T733" i="14"/>
  <c r="S731" i="14"/>
  <c r="O691" i="14"/>
  <c r="T647" i="14"/>
  <c r="L642" i="14"/>
  <c r="O642" i="14" s="1"/>
  <c r="L616" i="14"/>
  <c r="O616" i="14" s="1"/>
  <c r="Q576" i="14"/>
  <c r="T576" i="14" s="1"/>
  <c r="Q534" i="14"/>
  <c r="T534" i="14" s="1"/>
  <c r="Q392" i="14"/>
  <c r="T392" i="14" s="1"/>
  <c r="T393" i="14"/>
  <c r="R375" i="14"/>
  <c r="U375" i="14" s="1"/>
  <c r="R333" i="14"/>
  <c r="U333" i="14" s="1"/>
  <c r="O321" i="14"/>
  <c r="N305" i="14"/>
  <c r="N303" i="14" s="1"/>
  <c r="P267" i="14"/>
  <c r="I213" i="14"/>
  <c r="K213" i="14" s="1"/>
  <c r="S186" i="13"/>
  <c r="R378" i="14"/>
  <c r="U378" i="14" s="1"/>
  <c r="U380" i="14"/>
  <c r="U188" i="13"/>
  <c r="R94" i="13"/>
  <c r="L392" i="14"/>
  <c r="O392" i="14" s="1"/>
  <c r="O393" i="14"/>
  <c r="T304" i="14"/>
  <c r="R693" i="12"/>
  <c r="S731" i="13"/>
  <c r="T731" i="13" s="1"/>
  <c r="T695" i="13"/>
  <c r="Q692" i="13"/>
  <c r="Q690" i="13" s="1"/>
  <c r="I689" i="13"/>
  <c r="K689" i="13" s="1"/>
  <c r="L326" i="13"/>
  <c r="O326" i="13" s="1"/>
  <c r="O311" i="13"/>
  <c r="I281" i="13"/>
  <c r="K281" i="13" s="1"/>
  <c r="Q176" i="13"/>
  <c r="T176" i="13" s="1"/>
  <c r="O162" i="13"/>
  <c r="N141" i="13"/>
  <c r="N139" i="13" s="1"/>
  <c r="L100" i="13"/>
  <c r="O100" i="13" s="1"/>
  <c r="R72" i="13"/>
  <c r="U72" i="13" s="1"/>
  <c r="I759" i="14"/>
  <c r="K759" i="14" s="1"/>
  <c r="T715" i="14"/>
  <c r="I701" i="14"/>
  <c r="U691" i="14"/>
  <c r="Q690" i="14"/>
  <c r="P617" i="14"/>
  <c r="P556" i="14"/>
  <c r="O521" i="14"/>
  <c r="L519" i="14"/>
  <c r="O519" i="14" s="1"/>
  <c r="L322" i="14"/>
  <c r="O322" i="14" s="1"/>
  <c r="O325" i="14"/>
  <c r="M305" i="14"/>
  <c r="P174" i="14"/>
  <c r="L163" i="14"/>
  <c r="O163" i="14" s="1"/>
  <c r="L159" i="14"/>
  <c r="O165" i="14"/>
  <c r="T140" i="14"/>
  <c r="Q139" i="14"/>
  <c r="T139" i="14" s="1"/>
  <c r="L555" i="14"/>
  <c r="O555" i="14" s="1"/>
  <c r="O556" i="14"/>
  <c r="L189" i="14"/>
  <c r="O191" i="14"/>
  <c r="L188" i="14"/>
  <c r="L186" i="14" s="1"/>
  <c r="L26" i="14"/>
  <c r="K631" i="11"/>
  <c r="K346" i="11"/>
  <c r="S495" i="12"/>
  <c r="S493" i="12" s="1"/>
  <c r="K369" i="12"/>
  <c r="M284" i="13"/>
  <c r="P284" i="13" s="1"/>
  <c r="K276" i="13"/>
  <c r="R269" i="13"/>
  <c r="L203" i="13"/>
  <c r="O203" i="13" s="1"/>
  <c r="I195" i="13"/>
  <c r="K195" i="13" s="1"/>
  <c r="K152" i="13"/>
  <c r="Q72" i="13"/>
  <c r="T72" i="13" s="1"/>
  <c r="U765" i="14"/>
  <c r="J701" i="14"/>
  <c r="M642" i="14"/>
  <c r="P642" i="14" s="1"/>
  <c r="Q618" i="14"/>
  <c r="T621" i="14"/>
  <c r="L515" i="14"/>
  <c r="O515" i="14" s="1"/>
  <c r="J503" i="14"/>
  <c r="J492" i="14" s="1"/>
  <c r="I412" i="14"/>
  <c r="K412" i="14" s="1"/>
  <c r="P394" i="14"/>
  <c r="M392" i="14"/>
  <c r="P392" i="14" s="1"/>
  <c r="S377" i="14"/>
  <c r="S375" i="14" s="1"/>
  <c r="T375" i="14" s="1"/>
  <c r="T380" i="14"/>
  <c r="S378" i="14"/>
  <c r="O357" i="14"/>
  <c r="R320" i="14"/>
  <c r="U320" i="14" s="1"/>
  <c r="U321" i="14"/>
  <c r="L243" i="14"/>
  <c r="S173" i="14"/>
  <c r="K503" i="14"/>
  <c r="Q416" i="14"/>
  <c r="T416" i="14" s="1"/>
  <c r="U376" i="14"/>
  <c r="O361" i="14"/>
  <c r="K344" i="14"/>
  <c r="P341" i="14"/>
  <c r="T322" i="14"/>
  <c r="N322" i="14"/>
  <c r="N320" i="14" s="1"/>
  <c r="U304" i="14"/>
  <c r="I302" i="14"/>
  <c r="K302" i="14" s="1"/>
  <c r="Q282" i="14"/>
  <c r="T282" i="14" s="1"/>
  <c r="I238" i="14"/>
  <c r="K238" i="14" s="1"/>
  <c r="R189" i="14"/>
  <c r="R188" i="14"/>
  <c r="U188" i="14" s="1"/>
  <c r="U191" i="14"/>
  <c r="N188" i="14"/>
  <c r="N186" i="14" s="1"/>
  <c r="R415" i="14"/>
  <c r="U418" i="14"/>
  <c r="M358" i="14"/>
  <c r="J332" i="14"/>
  <c r="K332" i="14" s="1"/>
  <c r="K330" i="14"/>
  <c r="K292" i="14"/>
  <c r="M285" i="14"/>
  <c r="P285" i="14" s="1"/>
  <c r="S157" i="14"/>
  <c r="K153" i="14"/>
  <c r="I138" i="14"/>
  <c r="K138" i="14" s="1"/>
  <c r="Q305" i="14"/>
  <c r="K209" i="14"/>
  <c r="I202" i="14"/>
  <c r="K202" i="14" s="1"/>
  <c r="U19" i="14"/>
  <c r="M192" i="14"/>
  <c r="P192" i="14" s="1"/>
  <c r="P194" i="14"/>
  <c r="M142" i="14"/>
  <c r="P142" i="14" s="1"/>
  <c r="M141" i="14"/>
  <c r="P141" i="14" s="1"/>
  <c r="P144" i="14"/>
  <c r="N26" i="14"/>
  <c r="N24" i="14" s="1"/>
  <c r="U308" i="14"/>
  <c r="O308" i="14"/>
  <c r="O287" i="14"/>
  <c r="K276" i="14"/>
  <c r="T271" i="14"/>
  <c r="N189" i="14"/>
  <c r="Q176" i="14"/>
  <c r="T176" i="14" s="1"/>
  <c r="Q159" i="14"/>
  <c r="P140" i="14"/>
  <c r="P118" i="14"/>
  <c r="P67" i="14"/>
  <c r="M65" i="14"/>
  <c r="P65" i="14" s="1"/>
  <c r="P52" i="14"/>
  <c r="M26" i="14"/>
  <c r="P26" i="14" s="1"/>
  <c r="M50" i="14"/>
  <c r="P50" i="14" s="1"/>
  <c r="N284" i="14"/>
  <c r="N282" i="14" s="1"/>
  <c r="S268" i="14"/>
  <c r="T268" i="14" s="1"/>
  <c r="M268" i="14"/>
  <c r="K249" i="14"/>
  <c r="K169" i="14"/>
  <c r="Q160" i="14"/>
  <c r="T160" i="14" s="1"/>
  <c r="S117" i="14"/>
  <c r="S186" i="14"/>
  <c r="T186" i="14" s="1"/>
  <c r="O187" i="14"/>
  <c r="Q23" i="14"/>
  <c r="T99" i="14"/>
  <c r="Q97" i="14"/>
  <c r="P25" i="14"/>
  <c r="P22" i="14"/>
  <c r="M19" i="14"/>
  <c r="M188" i="14"/>
  <c r="U187" i="14"/>
  <c r="R94" i="14"/>
  <c r="O19" i="14"/>
  <c r="S189" i="14"/>
  <c r="M189" i="14"/>
  <c r="K183" i="14"/>
  <c r="N142" i="14"/>
  <c r="K127" i="14"/>
  <c r="L100" i="14"/>
  <c r="O100" i="14" s="1"/>
  <c r="P99" i="14"/>
  <c r="R97" i="14"/>
  <c r="L97" i="14"/>
  <c r="O97" i="14" s="1"/>
  <c r="T95" i="14"/>
  <c r="I92" i="14"/>
  <c r="K92" i="14" s="1"/>
  <c r="O80" i="14"/>
  <c r="U77" i="14"/>
  <c r="O77" i="14"/>
  <c r="Q75" i="14"/>
  <c r="T75" i="14" s="1"/>
  <c r="O64" i="14"/>
  <c r="N50" i="14"/>
  <c r="O49" i="14"/>
  <c r="N23" i="14"/>
  <c r="U99" i="14"/>
  <c r="O99" i="14"/>
  <c r="K84" i="14"/>
  <c r="T77" i="14"/>
  <c r="S23" i="14"/>
  <c r="S20" i="14" s="1"/>
  <c r="S18" i="14" s="1"/>
  <c r="M23" i="14"/>
  <c r="R119" i="14"/>
  <c r="L119" i="14"/>
  <c r="N96" i="14"/>
  <c r="N94" i="14" s="1"/>
  <c r="S74" i="14"/>
  <c r="S72" i="14" s="1"/>
  <c r="M74" i="14"/>
  <c r="M61" i="14"/>
  <c r="M46" i="14"/>
  <c r="R23" i="14"/>
  <c r="L23" i="14"/>
  <c r="Q760" i="13"/>
  <c r="T760" i="13" s="1"/>
  <c r="Q619" i="13"/>
  <c r="T621" i="13"/>
  <c r="N493" i="13"/>
  <c r="K784" i="12"/>
  <c r="K781" i="12"/>
  <c r="Q378" i="12"/>
  <c r="L235" i="12"/>
  <c r="L50" i="12"/>
  <c r="O50" i="12" s="1"/>
  <c r="K780" i="13"/>
  <c r="Q763" i="13"/>
  <c r="T763" i="13" s="1"/>
  <c r="N728" i="13"/>
  <c r="K705" i="13"/>
  <c r="R692" i="13"/>
  <c r="R690" i="13" s="1"/>
  <c r="M616" i="13"/>
  <c r="P616" i="13" s="1"/>
  <c r="S576" i="13"/>
  <c r="Q576" i="13"/>
  <c r="T576" i="13" s="1"/>
  <c r="K368" i="13"/>
  <c r="O189" i="13"/>
  <c r="P189" i="13"/>
  <c r="I136" i="13"/>
  <c r="K136" i="13" s="1"/>
  <c r="Q59" i="13"/>
  <c r="T59" i="13" s="1"/>
  <c r="R644" i="13"/>
  <c r="U644" i="13" s="1"/>
  <c r="P174" i="13"/>
  <c r="Q763" i="12"/>
  <c r="T763" i="12" s="1"/>
  <c r="J503" i="12"/>
  <c r="J492" i="12" s="1"/>
  <c r="S693" i="13"/>
  <c r="T693" i="13" s="1"/>
  <c r="N690" i="13"/>
  <c r="R645" i="13"/>
  <c r="U645" i="13" s="1"/>
  <c r="O521" i="13"/>
  <c r="L519" i="13"/>
  <c r="O519" i="13" s="1"/>
  <c r="S377" i="13"/>
  <c r="S375" i="13" s="1"/>
  <c r="S378" i="13"/>
  <c r="N323" i="13"/>
  <c r="N322" i="13"/>
  <c r="N320" i="13" s="1"/>
  <c r="Q24" i="13"/>
  <c r="T24" i="13" s="1"/>
  <c r="T25" i="13"/>
  <c r="Q618" i="13"/>
  <c r="I423" i="13"/>
  <c r="K423" i="13" s="1"/>
  <c r="K440" i="13"/>
  <c r="K629" i="12"/>
  <c r="K276" i="12"/>
  <c r="T765" i="13"/>
  <c r="T715" i="13"/>
  <c r="M555" i="13"/>
  <c r="P555" i="13" s="1"/>
  <c r="P556" i="13"/>
  <c r="K229" i="13"/>
  <c r="I221" i="13"/>
  <c r="K221" i="13" s="1"/>
  <c r="I83" i="13"/>
  <c r="K83" i="13" s="1"/>
  <c r="I615" i="13"/>
  <c r="K632" i="13"/>
  <c r="K630" i="13"/>
  <c r="M96" i="13"/>
  <c r="P99" i="13"/>
  <c r="M97" i="13"/>
  <c r="P97" i="13" s="1"/>
  <c r="U380" i="11"/>
  <c r="K265" i="12"/>
  <c r="K709" i="13"/>
  <c r="K703" i="13"/>
  <c r="L690" i="13"/>
  <c r="O690" i="13" s="1"/>
  <c r="S618" i="13"/>
  <c r="S616" i="13" s="1"/>
  <c r="S619" i="13"/>
  <c r="U619" i="13" s="1"/>
  <c r="Q599" i="13"/>
  <c r="T599" i="13" s="1"/>
  <c r="N305" i="13"/>
  <c r="N303" i="13" s="1"/>
  <c r="N306" i="13"/>
  <c r="U144" i="13"/>
  <c r="R142" i="13"/>
  <c r="U142" i="13" s="1"/>
  <c r="M642" i="13"/>
  <c r="P642" i="13" s="1"/>
  <c r="P643" i="13"/>
  <c r="Q619" i="11"/>
  <c r="O191" i="12"/>
  <c r="N159" i="12"/>
  <c r="N157" i="12" s="1"/>
  <c r="N141" i="12"/>
  <c r="N139" i="12" s="1"/>
  <c r="N269" i="13"/>
  <c r="N268" i="13"/>
  <c r="N266" i="13" s="1"/>
  <c r="I93" i="13"/>
  <c r="K93" i="13" s="1"/>
  <c r="K109" i="13"/>
  <c r="N74" i="13"/>
  <c r="N72" i="13" s="1"/>
  <c r="N75" i="13"/>
  <c r="Q644" i="13"/>
  <c r="T644" i="13" s="1"/>
  <c r="N642" i="13"/>
  <c r="T498" i="13"/>
  <c r="P494" i="13"/>
  <c r="U418" i="13"/>
  <c r="L413" i="13"/>
  <c r="O413" i="13" s="1"/>
  <c r="O393" i="13"/>
  <c r="N375" i="13"/>
  <c r="M375" i="13"/>
  <c r="P375" i="13" s="1"/>
  <c r="O364" i="13"/>
  <c r="J343" i="13"/>
  <c r="L336" i="13"/>
  <c r="O336" i="13" s="1"/>
  <c r="S320" i="13"/>
  <c r="S306" i="13"/>
  <c r="S303" i="13"/>
  <c r="P274" i="13"/>
  <c r="M268" i="13"/>
  <c r="S269" i="13"/>
  <c r="T269" i="13" s="1"/>
  <c r="N232" i="13"/>
  <c r="T214" i="13"/>
  <c r="P178" i="13"/>
  <c r="P160" i="13"/>
  <c r="M119" i="13"/>
  <c r="P119" i="13" s="1"/>
  <c r="S120" i="13"/>
  <c r="K108" i="13"/>
  <c r="L96" i="13"/>
  <c r="O96" i="13" s="1"/>
  <c r="R97" i="13"/>
  <c r="R75" i="13"/>
  <c r="U75" i="13" s="1"/>
  <c r="U73" i="13"/>
  <c r="P64" i="13"/>
  <c r="N62" i="13"/>
  <c r="O62" i="13" s="1"/>
  <c r="U60" i="13"/>
  <c r="N46" i="13"/>
  <c r="N44" i="13" s="1"/>
  <c r="S44" i="13"/>
  <c r="N392" i="13"/>
  <c r="L159" i="13"/>
  <c r="O159" i="13" s="1"/>
  <c r="L74" i="13"/>
  <c r="Q75" i="13"/>
  <c r="T75" i="13" s="1"/>
  <c r="O64" i="13"/>
  <c r="R44" i="13"/>
  <c r="U44" i="13" s="1"/>
  <c r="Q19" i="13"/>
  <c r="T19" i="13" s="1"/>
  <c r="S333" i="13"/>
  <c r="M285" i="13"/>
  <c r="P285" i="13" s="1"/>
  <c r="U268" i="13"/>
  <c r="J675" i="13"/>
  <c r="T647" i="13"/>
  <c r="U621" i="13"/>
  <c r="O556" i="13"/>
  <c r="L515" i="13"/>
  <c r="O515" i="13" s="1"/>
  <c r="R513" i="13"/>
  <c r="U513" i="13" s="1"/>
  <c r="Q493" i="13"/>
  <c r="J458" i="13"/>
  <c r="I374" i="13"/>
  <c r="Q378" i="13"/>
  <c r="K369" i="13"/>
  <c r="M358" i="13"/>
  <c r="M356" i="13" s="1"/>
  <c r="M359" i="13"/>
  <c r="P359" i="13" s="1"/>
  <c r="K265" i="13"/>
  <c r="M269" i="13"/>
  <c r="J231" i="13"/>
  <c r="J185" i="13" s="1"/>
  <c r="L222" i="13"/>
  <c r="O222" i="13" s="1"/>
  <c r="N188" i="13"/>
  <c r="N186" i="13" s="1"/>
  <c r="K172" i="13"/>
  <c r="N176" i="13"/>
  <c r="O176" i="13" s="1"/>
  <c r="L75" i="13"/>
  <c r="O75" i="13" s="1"/>
  <c r="S24" i="13"/>
  <c r="S642" i="13"/>
  <c r="R618" i="13"/>
  <c r="R616" i="13" s="1"/>
  <c r="N599" i="13"/>
  <c r="N576" i="13"/>
  <c r="R496" i="13"/>
  <c r="R416" i="13"/>
  <c r="U416" i="13" s="1"/>
  <c r="J374" i="13"/>
  <c r="T380" i="13"/>
  <c r="L375" i="13"/>
  <c r="O375" i="13" s="1"/>
  <c r="L323" i="13"/>
  <c r="O290" i="13"/>
  <c r="P271" i="13"/>
  <c r="P267" i="13"/>
  <c r="L233" i="13"/>
  <c r="O194" i="13"/>
  <c r="M176" i="13"/>
  <c r="O165" i="13"/>
  <c r="N142" i="13"/>
  <c r="P142" i="13" s="1"/>
  <c r="O125" i="13"/>
  <c r="U122" i="13"/>
  <c r="O122" i="13"/>
  <c r="P102" i="13"/>
  <c r="O80" i="13"/>
  <c r="O77" i="13"/>
  <c r="P49" i="13"/>
  <c r="N47" i="13"/>
  <c r="T22" i="13"/>
  <c r="P334" i="13"/>
  <c r="I213" i="10"/>
  <c r="K213" i="10" s="1"/>
  <c r="K220" i="10"/>
  <c r="Q495" i="12"/>
  <c r="T495" i="12" s="1"/>
  <c r="Q496" i="12"/>
  <c r="T496" i="12" s="1"/>
  <c r="I281" i="12"/>
  <c r="K281" i="12" s="1"/>
  <c r="K292" i="12"/>
  <c r="R731" i="13"/>
  <c r="R730" i="13"/>
  <c r="U730" i="13" s="1"/>
  <c r="U733" i="13"/>
  <c r="R714" i="13"/>
  <c r="U714" i="13" s="1"/>
  <c r="U715" i="13"/>
  <c r="L576" i="13"/>
  <c r="O576" i="13" s="1"/>
  <c r="O577" i="13"/>
  <c r="T557" i="13"/>
  <c r="Q555" i="13"/>
  <c r="T555" i="13" s="1"/>
  <c r="R555" i="13"/>
  <c r="U555" i="13" s="1"/>
  <c r="L534" i="13"/>
  <c r="O534" i="13" s="1"/>
  <c r="O535" i="13"/>
  <c r="R493" i="13"/>
  <c r="U494" i="13"/>
  <c r="R378" i="13"/>
  <c r="R377" i="13"/>
  <c r="R375" i="13" s="1"/>
  <c r="U380" i="13"/>
  <c r="P311" i="13"/>
  <c r="M309" i="13"/>
  <c r="P309" i="13" s="1"/>
  <c r="L305" i="13"/>
  <c r="O308" i="13"/>
  <c r="L306" i="13"/>
  <c r="O306" i="13" s="1"/>
  <c r="M576" i="13"/>
  <c r="P576" i="13" s="1"/>
  <c r="P577" i="13"/>
  <c r="M358" i="10"/>
  <c r="M356" i="10" s="1"/>
  <c r="P341" i="12"/>
  <c r="M339" i="12"/>
  <c r="P339" i="12" s="1"/>
  <c r="K183" i="12"/>
  <c r="I172" i="12"/>
  <c r="K172" i="12" s="1"/>
  <c r="M75" i="12"/>
  <c r="P75" i="12" s="1"/>
  <c r="P77" i="12"/>
  <c r="Q730" i="13"/>
  <c r="T733" i="13"/>
  <c r="R599" i="13"/>
  <c r="U599" i="13" s="1"/>
  <c r="U600" i="13"/>
  <c r="S495" i="13"/>
  <c r="U495" i="13" s="1"/>
  <c r="S496" i="13"/>
  <c r="U498" i="13"/>
  <c r="Q416" i="13"/>
  <c r="T416" i="13" s="1"/>
  <c r="Q415" i="13"/>
  <c r="T415" i="13" s="1"/>
  <c r="T418" i="13"/>
  <c r="L359" i="13"/>
  <c r="O359" i="13" s="1"/>
  <c r="L358" i="13"/>
  <c r="O361" i="13"/>
  <c r="U335" i="13"/>
  <c r="R333" i="13"/>
  <c r="U333" i="13" s="1"/>
  <c r="M326" i="13"/>
  <c r="P326" i="13" s="1"/>
  <c r="P328" i="13"/>
  <c r="R186" i="13"/>
  <c r="U187" i="13"/>
  <c r="O359" i="10"/>
  <c r="Q415" i="12"/>
  <c r="T415" i="12" s="1"/>
  <c r="T418" i="12"/>
  <c r="Q416" i="12"/>
  <c r="T416" i="12" s="1"/>
  <c r="L339" i="12"/>
  <c r="O339" i="12" s="1"/>
  <c r="O341" i="12"/>
  <c r="M760" i="13"/>
  <c r="P760" i="13" s="1"/>
  <c r="P761" i="13"/>
  <c r="M728" i="13"/>
  <c r="P728" i="13" s="1"/>
  <c r="P729" i="13"/>
  <c r="U695" i="13"/>
  <c r="S692" i="13"/>
  <c r="S690" i="13" s="1"/>
  <c r="J674" i="13"/>
  <c r="S645" i="13"/>
  <c r="J615" i="13"/>
  <c r="K626" i="13"/>
  <c r="L616" i="13"/>
  <c r="O616" i="13" s="1"/>
  <c r="R576" i="13"/>
  <c r="U576" i="13" s="1"/>
  <c r="U577" i="13"/>
  <c r="R534" i="13"/>
  <c r="U534" i="13" s="1"/>
  <c r="U535" i="13"/>
  <c r="T514" i="13"/>
  <c r="Q513" i="13"/>
  <c r="T513" i="13" s="1"/>
  <c r="L493" i="13"/>
  <c r="O493" i="13" s="1"/>
  <c r="I302" i="13"/>
  <c r="K302" i="13" s="1"/>
  <c r="U729" i="13"/>
  <c r="M322" i="13"/>
  <c r="M323" i="13"/>
  <c r="P325" i="13"/>
  <c r="J351" i="10"/>
  <c r="L519" i="12"/>
  <c r="O519" i="12" s="1"/>
  <c r="O521" i="12"/>
  <c r="L515" i="12"/>
  <c r="O515" i="12" s="1"/>
  <c r="M323" i="12"/>
  <c r="P323" i="12" s="1"/>
  <c r="P325" i="12"/>
  <c r="Q188" i="12"/>
  <c r="Q186" i="12" s="1"/>
  <c r="Q189" i="12"/>
  <c r="L728" i="13"/>
  <c r="O728" i="13" s="1"/>
  <c r="O729" i="13"/>
  <c r="M714" i="13"/>
  <c r="P714" i="13" s="1"/>
  <c r="P715" i="13"/>
  <c r="U414" i="13"/>
  <c r="R413" i="13"/>
  <c r="U413" i="13" s="1"/>
  <c r="P321" i="13"/>
  <c r="S142" i="13"/>
  <c r="S141" i="13"/>
  <c r="S139" i="13" s="1"/>
  <c r="Q94" i="13"/>
  <c r="R762" i="13"/>
  <c r="U765" i="13"/>
  <c r="L599" i="13"/>
  <c r="O599" i="13" s="1"/>
  <c r="O600" i="13"/>
  <c r="M534" i="13"/>
  <c r="P534" i="13" s="1"/>
  <c r="P535" i="13"/>
  <c r="M326" i="11"/>
  <c r="P326" i="11" s="1"/>
  <c r="P328" i="11"/>
  <c r="I319" i="12"/>
  <c r="K319" i="12" s="1"/>
  <c r="K330" i="12"/>
  <c r="S96" i="12"/>
  <c r="S94" i="12" s="1"/>
  <c r="S97" i="12"/>
  <c r="S763" i="13"/>
  <c r="S762" i="13"/>
  <c r="S760" i="13" s="1"/>
  <c r="S728" i="13"/>
  <c r="L714" i="13"/>
  <c r="O714" i="13" s="1"/>
  <c r="O715" i="13"/>
  <c r="M599" i="13"/>
  <c r="P599" i="13" s="1"/>
  <c r="P600" i="13"/>
  <c r="P518" i="13"/>
  <c r="M516" i="13"/>
  <c r="P516" i="13" s="1"/>
  <c r="N515" i="13"/>
  <c r="N513" i="13" s="1"/>
  <c r="T393" i="13"/>
  <c r="Q392" i="13"/>
  <c r="T392" i="13" s="1"/>
  <c r="O274" i="13"/>
  <c r="L272" i="13"/>
  <c r="O272" i="13" s="1"/>
  <c r="K260" i="13"/>
  <c r="I253" i="13"/>
  <c r="K253" i="13" s="1"/>
  <c r="O174" i="13"/>
  <c r="K709" i="11"/>
  <c r="K630" i="11"/>
  <c r="U162" i="11"/>
  <c r="O125" i="11"/>
  <c r="K779" i="12"/>
  <c r="U731" i="12"/>
  <c r="K709" i="12"/>
  <c r="T621" i="12"/>
  <c r="P521" i="12"/>
  <c r="S416" i="12"/>
  <c r="I374" i="12"/>
  <c r="P147" i="12"/>
  <c r="L46" i="12"/>
  <c r="L44" i="12" s="1"/>
  <c r="K631" i="13"/>
  <c r="K386" i="13"/>
  <c r="K371" i="13"/>
  <c r="I365" i="13"/>
  <c r="K365" i="13" s="1"/>
  <c r="R356" i="13"/>
  <c r="U356" i="13" s="1"/>
  <c r="N335" i="13"/>
  <c r="N333" i="13" s="1"/>
  <c r="P338" i="13"/>
  <c r="O321" i="13"/>
  <c r="R305" i="13"/>
  <c r="U308" i="13"/>
  <c r="R306" i="13"/>
  <c r="P304" i="13"/>
  <c r="Q268" i="13"/>
  <c r="T271" i="13"/>
  <c r="N119" i="13"/>
  <c r="N117" i="13" s="1"/>
  <c r="N123" i="13"/>
  <c r="J332" i="12"/>
  <c r="L335" i="12"/>
  <c r="L333" i="12" s="1"/>
  <c r="M513" i="13"/>
  <c r="P513" i="13" s="1"/>
  <c r="T308" i="13"/>
  <c r="Q305" i="13"/>
  <c r="Q306" i="13"/>
  <c r="L284" i="13"/>
  <c r="O287" i="13"/>
  <c r="L285" i="13"/>
  <c r="O285" i="13" s="1"/>
  <c r="R266" i="13"/>
  <c r="L179" i="13"/>
  <c r="O179" i="13" s="1"/>
  <c r="L175" i="13"/>
  <c r="O181" i="13"/>
  <c r="R176" i="13"/>
  <c r="U176" i="13" s="1"/>
  <c r="U178" i="13"/>
  <c r="R175" i="13"/>
  <c r="U175" i="13" s="1"/>
  <c r="T159" i="13"/>
  <c r="Q157" i="13"/>
  <c r="T157" i="13" s="1"/>
  <c r="P158" i="13"/>
  <c r="T140" i="13"/>
  <c r="J675" i="11"/>
  <c r="K209" i="11"/>
  <c r="K440" i="12"/>
  <c r="M322" i="12"/>
  <c r="P322" i="12" s="1"/>
  <c r="I202" i="12"/>
  <c r="K202" i="12" s="1"/>
  <c r="S513" i="13"/>
  <c r="Q375" i="13"/>
  <c r="T376" i="13"/>
  <c r="N358" i="13"/>
  <c r="N356" i="13" s="1"/>
  <c r="Q356" i="13"/>
  <c r="T356" i="13" s="1"/>
  <c r="J332" i="13"/>
  <c r="P341" i="13"/>
  <c r="M339" i="13"/>
  <c r="P339" i="13" s="1"/>
  <c r="K209" i="13"/>
  <c r="I202" i="13"/>
  <c r="K202" i="13" s="1"/>
  <c r="I156" i="13"/>
  <c r="K156" i="13" s="1"/>
  <c r="K169" i="13"/>
  <c r="K707" i="11"/>
  <c r="K727" i="12"/>
  <c r="L236" i="12"/>
  <c r="N175" i="12"/>
  <c r="N173" i="12" s="1"/>
  <c r="S415" i="13"/>
  <c r="S413" i="13" s="1"/>
  <c r="M392" i="13"/>
  <c r="P392" i="13" s="1"/>
  <c r="I332" i="13"/>
  <c r="K344" i="13"/>
  <c r="L339" i="13"/>
  <c r="O339" i="13" s="1"/>
  <c r="O341" i="13"/>
  <c r="Q320" i="13"/>
  <c r="T320" i="13" s="1"/>
  <c r="M305" i="13"/>
  <c r="P305" i="13" s="1"/>
  <c r="K293" i="13"/>
  <c r="I280" i="13"/>
  <c r="K280" i="13" s="1"/>
  <c r="P283" i="13"/>
  <c r="I242" i="13"/>
  <c r="K249" i="13"/>
  <c r="I238" i="13"/>
  <c r="K238" i="13" s="1"/>
  <c r="Q188" i="13"/>
  <c r="Q189" i="13"/>
  <c r="T191" i="13"/>
  <c r="O144" i="13"/>
  <c r="L142" i="13"/>
  <c r="L141" i="13"/>
  <c r="P361" i="13"/>
  <c r="M335" i="13"/>
  <c r="P308" i="13"/>
  <c r="P287" i="13"/>
  <c r="U271" i="13"/>
  <c r="O271" i="13"/>
  <c r="U267" i="13"/>
  <c r="P194" i="13"/>
  <c r="M192" i="13"/>
  <c r="P192" i="13" s="1"/>
  <c r="M188" i="13"/>
  <c r="Q173" i="13"/>
  <c r="T173" i="13" s="1"/>
  <c r="T175" i="13"/>
  <c r="U174" i="13"/>
  <c r="N159" i="13"/>
  <c r="N157" i="13" s="1"/>
  <c r="N26" i="13"/>
  <c r="N24" i="13" s="1"/>
  <c r="O147" i="13"/>
  <c r="L145" i="13"/>
  <c r="O145" i="13" s="1"/>
  <c r="R141" i="13"/>
  <c r="R24" i="13"/>
  <c r="U24" i="13" s="1"/>
  <c r="U25" i="13"/>
  <c r="L243" i="13"/>
  <c r="U118" i="13"/>
  <c r="O325" i="13"/>
  <c r="N284" i="13"/>
  <c r="N282" i="13" s="1"/>
  <c r="L254" i="13"/>
  <c r="O254" i="13" s="1"/>
  <c r="L214" i="13"/>
  <c r="O214" i="13" s="1"/>
  <c r="L188" i="13"/>
  <c r="S19" i="13"/>
  <c r="R189" i="13"/>
  <c r="U191" i="13"/>
  <c r="O191" i="13"/>
  <c r="T178" i="13"/>
  <c r="U162" i="13"/>
  <c r="P162" i="13"/>
  <c r="N23" i="13"/>
  <c r="O158" i="13"/>
  <c r="M141" i="13"/>
  <c r="P67" i="13"/>
  <c r="M65" i="13"/>
  <c r="P65" i="13" s="1"/>
  <c r="P60" i="13"/>
  <c r="R159" i="13"/>
  <c r="U159" i="13" s="1"/>
  <c r="U158" i="13"/>
  <c r="P144" i="13"/>
  <c r="I82" i="13"/>
  <c r="P73" i="13"/>
  <c r="O67" i="13"/>
  <c r="L65" i="13"/>
  <c r="O65" i="13" s="1"/>
  <c r="L61" i="13"/>
  <c r="P118" i="13"/>
  <c r="P52" i="13"/>
  <c r="M26" i="13"/>
  <c r="P26" i="13" s="1"/>
  <c r="M50" i="13"/>
  <c r="P50" i="13" s="1"/>
  <c r="P45" i="13"/>
  <c r="P25" i="13"/>
  <c r="P22" i="13"/>
  <c r="M19" i="13"/>
  <c r="S189" i="13"/>
  <c r="O118" i="13"/>
  <c r="T99" i="13"/>
  <c r="Q97" i="13"/>
  <c r="O52" i="13"/>
  <c r="L26" i="13"/>
  <c r="O26" i="13" s="1"/>
  <c r="L50" i="13"/>
  <c r="O50" i="13" s="1"/>
  <c r="L46" i="13"/>
  <c r="O25" i="13"/>
  <c r="R19" i="13"/>
  <c r="L19" i="13"/>
  <c r="P191" i="13"/>
  <c r="S159" i="13"/>
  <c r="S157" i="13" s="1"/>
  <c r="M159" i="13"/>
  <c r="Q141" i="13"/>
  <c r="T141" i="13" s="1"/>
  <c r="U99" i="13"/>
  <c r="O99" i="13"/>
  <c r="K84" i="13"/>
  <c r="T77" i="13"/>
  <c r="S23" i="13"/>
  <c r="S20" i="13" s="1"/>
  <c r="M23" i="13"/>
  <c r="M21" i="13" s="1"/>
  <c r="R119" i="13"/>
  <c r="U119" i="13" s="1"/>
  <c r="L119" i="13"/>
  <c r="O119" i="13" s="1"/>
  <c r="N96" i="13"/>
  <c r="N94" i="13" s="1"/>
  <c r="S74" i="13"/>
  <c r="S72" i="13" s="1"/>
  <c r="M74" i="13"/>
  <c r="P74" i="13" s="1"/>
  <c r="M61" i="13"/>
  <c r="M46" i="13"/>
  <c r="R23" i="13"/>
  <c r="L23" i="13"/>
  <c r="L21" i="13" s="1"/>
  <c r="Q23" i="13"/>
  <c r="U22" i="13"/>
  <c r="O22" i="13"/>
  <c r="U308" i="11"/>
  <c r="P271" i="11"/>
  <c r="L203" i="11"/>
  <c r="O203" i="11" s="1"/>
  <c r="T191" i="11"/>
  <c r="M100" i="11"/>
  <c r="P100" i="11" s="1"/>
  <c r="M96" i="11"/>
  <c r="P96" i="11" s="1"/>
  <c r="K778" i="12"/>
  <c r="M760" i="12"/>
  <c r="P760" i="12" s="1"/>
  <c r="I758" i="12"/>
  <c r="K758" i="12" s="1"/>
  <c r="M714" i="12"/>
  <c r="P714" i="12" s="1"/>
  <c r="S645" i="12"/>
  <c r="N642" i="12"/>
  <c r="I615" i="12"/>
  <c r="K615" i="12" s="1"/>
  <c r="K632" i="12"/>
  <c r="K626" i="12"/>
  <c r="K631" i="12"/>
  <c r="L413" i="12"/>
  <c r="O413" i="12" s="1"/>
  <c r="O415" i="12"/>
  <c r="R378" i="12"/>
  <c r="R377" i="12"/>
  <c r="R375" i="12" s="1"/>
  <c r="K365" i="12"/>
  <c r="T308" i="12"/>
  <c r="Q306" i="12"/>
  <c r="T306" i="12" s="1"/>
  <c r="Q305" i="12"/>
  <c r="T305" i="12" s="1"/>
  <c r="S268" i="12"/>
  <c r="S266" i="12" s="1"/>
  <c r="S269" i="12"/>
  <c r="T269" i="12" s="1"/>
  <c r="U271" i="12"/>
  <c r="S173" i="12"/>
  <c r="M534" i="12"/>
  <c r="P534" i="12" s="1"/>
  <c r="P535" i="12"/>
  <c r="M141" i="12"/>
  <c r="M139" i="12" s="1"/>
  <c r="P144" i="12"/>
  <c r="M142" i="12"/>
  <c r="O49" i="9"/>
  <c r="I82" i="10"/>
  <c r="K82" i="10" s="1"/>
  <c r="L235" i="11"/>
  <c r="P194" i="11"/>
  <c r="T188" i="11"/>
  <c r="T144" i="11"/>
  <c r="L141" i="11"/>
  <c r="O141" i="11" s="1"/>
  <c r="O102" i="11"/>
  <c r="U99" i="11"/>
  <c r="T77" i="11"/>
  <c r="K780" i="12"/>
  <c r="R763" i="12"/>
  <c r="U763" i="12" s="1"/>
  <c r="Q731" i="12"/>
  <c r="T731" i="12" s="1"/>
  <c r="S730" i="12"/>
  <c r="S728" i="12" s="1"/>
  <c r="J675" i="12"/>
  <c r="P643" i="12"/>
  <c r="M642" i="12"/>
  <c r="P642" i="12" s="1"/>
  <c r="Q618" i="12"/>
  <c r="Q616" i="12" s="1"/>
  <c r="Q534" i="12"/>
  <c r="T534" i="12" s="1"/>
  <c r="M515" i="12"/>
  <c r="L375" i="12"/>
  <c r="O375" i="12" s="1"/>
  <c r="Q19" i="12"/>
  <c r="T19" i="12" s="1"/>
  <c r="T22" i="12"/>
  <c r="J689" i="11"/>
  <c r="K689" i="11" s="1"/>
  <c r="R730" i="12"/>
  <c r="S693" i="12"/>
  <c r="R333" i="12"/>
  <c r="U333" i="12" s="1"/>
  <c r="U334" i="12"/>
  <c r="K726" i="11"/>
  <c r="S305" i="11"/>
  <c r="S303" i="11" s="1"/>
  <c r="U733" i="12"/>
  <c r="P729" i="12"/>
  <c r="R555" i="12"/>
  <c r="U555" i="12" s="1"/>
  <c r="U557" i="12"/>
  <c r="L555" i="12"/>
  <c r="O555" i="12" s="1"/>
  <c r="U514" i="12"/>
  <c r="M358" i="12"/>
  <c r="M356" i="12" s="1"/>
  <c r="M359" i="12"/>
  <c r="S282" i="12"/>
  <c r="P274" i="12"/>
  <c r="M272" i="12"/>
  <c r="P272" i="12" s="1"/>
  <c r="P95" i="12"/>
  <c r="L61" i="12"/>
  <c r="L62" i="12"/>
  <c r="O328" i="11"/>
  <c r="I759" i="12"/>
  <c r="K759" i="12" s="1"/>
  <c r="R644" i="12"/>
  <c r="U644" i="12" s="1"/>
  <c r="R645" i="12"/>
  <c r="U645" i="12" s="1"/>
  <c r="N616" i="12"/>
  <c r="S599" i="12"/>
  <c r="O514" i="12"/>
  <c r="Q714" i="12"/>
  <c r="T714" i="12" s="1"/>
  <c r="J702" i="12"/>
  <c r="J674" i="12"/>
  <c r="S619" i="12"/>
  <c r="T619" i="12" s="1"/>
  <c r="Q576" i="12"/>
  <c r="T576" i="12" s="1"/>
  <c r="I492" i="12"/>
  <c r="K492" i="12" s="1"/>
  <c r="M392" i="12"/>
  <c r="P392" i="12" s="1"/>
  <c r="U376" i="12"/>
  <c r="L358" i="12"/>
  <c r="M335" i="12"/>
  <c r="M333" i="12" s="1"/>
  <c r="M326" i="12"/>
  <c r="P326" i="12" s="1"/>
  <c r="R320" i="12"/>
  <c r="U320" i="12" s="1"/>
  <c r="O308" i="12"/>
  <c r="U305" i="12"/>
  <c r="Q268" i="12"/>
  <c r="L254" i="12"/>
  <c r="O254" i="12" s="1"/>
  <c r="O189" i="12"/>
  <c r="M159" i="12"/>
  <c r="P159" i="12" s="1"/>
  <c r="S139" i="12"/>
  <c r="N142" i="12"/>
  <c r="S117" i="12"/>
  <c r="N74" i="12"/>
  <c r="N72" i="12" s="1"/>
  <c r="O67" i="12"/>
  <c r="U45" i="12"/>
  <c r="Q24" i="12"/>
  <c r="T24" i="12" s="1"/>
  <c r="N493" i="12"/>
  <c r="S392" i="12"/>
  <c r="M362" i="12"/>
  <c r="P362" i="12" s="1"/>
  <c r="Q320" i="12"/>
  <c r="T320" i="12" s="1"/>
  <c r="N305" i="12"/>
  <c r="N303" i="12" s="1"/>
  <c r="L288" i="12"/>
  <c r="O288" i="12" s="1"/>
  <c r="Q282" i="12"/>
  <c r="T282" i="12" s="1"/>
  <c r="I238" i="12"/>
  <c r="K238" i="12" s="1"/>
  <c r="L222" i="12"/>
  <c r="O222" i="12" s="1"/>
  <c r="L214" i="12"/>
  <c r="O214" i="12" s="1"/>
  <c r="L188" i="12"/>
  <c r="L186" i="12" s="1"/>
  <c r="M163" i="12"/>
  <c r="P163" i="12" s="1"/>
  <c r="R75" i="12"/>
  <c r="U75" i="12" s="1"/>
  <c r="P49" i="12"/>
  <c r="N47" i="12"/>
  <c r="O47" i="12" s="1"/>
  <c r="N19" i="12"/>
  <c r="K423" i="12"/>
  <c r="J343" i="12"/>
  <c r="L284" i="12"/>
  <c r="L282" i="12" s="1"/>
  <c r="O282" i="12" s="1"/>
  <c r="L203" i="12"/>
  <c r="O203" i="12" s="1"/>
  <c r="M100" i="12"/>
  <c r="P100" i="12" s="1"/>
  <c r="M96" i="12"/>
  <c r="P96" i="12" s="1"/>
  <c r="L74" i="12"/>
  <c r="O74" i="12" s="1"/>
  <c r="M576" i="12"/>
  <c r="P576" i="12" s="1"/>
  <c r="S534" i="12"/>
  <c r="L534" i="12"/>
  <c r="O534" i="12" s="1"/>
  <c r="J458" i="12"/>
  <c r="Q392" i="12"/>
  <c r="T392" i="12" s="1"/>
  <c r="M268" i="12"/>
  <c r="M266" i="12" s="1"/>
  <c r="P178" i="12"/>
  <c r="M176" i="12"/>
  <c r="N119" i="12"/>
  <c r="N117" i="12" s="1"/>
  <c r="L96" i="12"/>
  <c r="O96" i="12" s="1"/>
  <c r="I93" i="12"/>
  <c r="K93" i="12" s="1"/>
  <c r="L75" i="12"/>
  <c r="O75" i="12" s="1"/>
  <c r="N61" i="12"/>
  <c r="N59" i="12" s="1"/>
  <c r="N62" i="12"/>
  <c r="S44" i="12"/>
  <c r="L19" i="12"/>
  <c r="S714" i="12"/>
  <c r="L714" i="12"/>
  <c r="O714" i="12" s="1"/>
  <c r="K707" i="12"/>
  <c r="L616" i="12"/>
  <c r="O616" i="12" s="1"/>
  <c r="M599" i="12"/>
  <c r="P599" i="12" s="1"/>
  <c r="S576" i="12"/>
  <c r="L576" i="12"/>
  <c r="O576" i="12" s="1"/>
  <c r="R496" i="12"/>
  <c r="U496" i="12" s="1"/>
  <c r="J457" i="12"/>
  <c r="J456" i="12" s="1"/>
  <c r="M375" i="12"/>
  <c r="P375" i="12" s="1"/>
  <c r="Q375" i="12"/>
  <c r="O325" i="12"/>
  <c r="L305" i="12"/>
  <c r="L303" i="12" s="1"/>
  <c r="O303" i="12" s="1"/>
  <c r="T304" i="12"/>
  <c r="O287" i="12"/>
  <c r="I280" i="12"/>
  <c r="K280" i="12" s="1"/>
  <c r="T271" i="12"/>
  <c r="L234" i="12"/>
  <c r="O194" i="12"/>
  <c r="N188" i="12"/>
  <c r="N186" i="12" s="1"/>
  <c r="M179" i="12"/>
  <c r="P179" i="12" s="1"/>
  <c r="M175" i="12"/>
  <c r="M173" i="12" s="1"/>
  <c r="K138" i="12"/>
  <c r="M119" i="12"/>
  <c r="P119" i="12" s="1"/>
  <c r="M97" i="12"/>
  <c r="P97" i="12" s="1"/>
  <c r="M61" i="12"/>
  <c r="M59" i="12" s="1"/>
  <c r="Q44" i="12"/>
  <c r="T44" i="12" s="1"/>
  <c r="O361" i="12"/>
  <c r="P361" i="12"/>
  <c r="N359" i="12"/>
  <c r="M285" i="12"/>
  <c r="P285" i="12" s="1"/>
  <c r="P287" i="12"/>
  <c r="M284" i="12"/>
  <c r="P284" i="12" s="1"/>
  <c r="L269" i="12"/>
  <c r="O269" i="12" s="1"/>
  <c r="L268" i="12"/>
  <c r="O268" i="12" s="1"/>
  <c r="O271" i="12"/>
  <c r="S730" i="10"/>
  <c r="S728" i="10" s="1"/>
  <c r="J674" i="11"/>
  <c r="S642" i="11"/>
  <c r="I456" i="11"/>
  <c r="K456" i="11" s="1"/>
  <c r="R377" i="11"/>
  <c r="R375" i="11" s="1"/>
  <c r="U375" i="11" s="1"/>
  <c r="R760" i="12"/>
  <c r="Q728" i="12"/>
  <c r="R714" i="12"/>
  <c r="U714" i="12" s="1"/>
  <c r="Q645" i="12"/>
  <c r="T645" i="12" s="1"/>
  <c r="Q644" i="12"/>
  <c r="T647" i="12"/>
  <c r="M555" i="12"/>
  <c r="P555" i="12" s="1"/>
  <c r="P556" i="12"/>
  <c r="U495" i="12"/>
  <c r="R493" i="12"/>
  <c r="U493" i="12" s="1"/>
  <c r="K457" i="12"/>
  <c r="I456" i="12"/>
  <c r="K456" i="12" s="1"/>
  <c r="O357" i="12"/>
  <c r="M305" i="12"/>
  <c r="P308" i="12"/>
  <c r="M306" i="12"/>
  <c r="P306" i="12" s="1"/>
  <c r="N75" i="11"/>
  <c r="N74" i="11"/>
  <c r="N72" i="11" s="1"/>
  <c r="R599" i="12"/>
  <c r="U599" i="12" s="1"/>
  <c r="T494" i="12"/>
  <c r="N358" i="12"/>
  <c r="N284" i="10"/>
  <c r="N282" i="10" s="1"/>
  <c r="S378" i="11"/>
  <c r="T378" i="11" s="1"/>
  <c r="K344" i="11"/>
  <c r="N322" i="11"/>
  <c r="N320" i="11" s="1"/>
  <c r="L214" i="11"/>
  <c r="O214" i="11" s="1"/>
  <c r="P162" i="11"/>
  <c r="Q760" i="12"/>
  <c r="L728" i="12"/>
  <c r="O728" i="12" s="1"/>
  <c r="U692" i="12"/>
  <c r="N690" i="12"/>
  <c r="L642" i="12"/>
  <c r="O642" i="12" s="1"/>
  <c r="O643" i="12"/>
  <c r="R619" i="12"/>
  <c r="R618" i="12"/>
  <c r="U621" i="12"/>
  <c r="Q513" i="12"/>
  <c r="T513" i="12" s="1"/>
  <c r="M493" i="12"/>
  <c r="P493" i="12" s="1"/>
  <c r="I332" i="12"/>
  <c r="K344" i="12"/>
  <c r="S305" i="12"/>
  <c r="S303" i="12" s="1"/>
  <c r="S306" i="12"/>
  <c r="I92" i="12"/>
  <c r="K92" i="12" s="1"/>
  <c r="K108" i="12"/>
  <c r="I83" i="12"/>
  <c r="S378" i="12"/>
  <c r="T380" i="12"/>
  <c r="U380" i="12"/>
  <c r="S377" i="12"/>
  <c r="S375" i="12" s="1"/>
  <c r="T647" i="10"/>
  <c r="K346" i="10"/>
  <c r="I759" i="11"/>
  <c r="K759" i="11" s="1"/>
  <c r="S645" i="11"/>
  <c r="P521" i="11"/>
  <c r="J374" i="11"/>
  <c r="R378" i="11"/>
  <c r="M322" i="11"/>
  <c r="P322" i="11" s="1"/>
  <c r="O122" i="11"/>
  <c r="Q693" i="12"/>
  <c r="Q692" i="12"/>
  <c r="T695" i="12"/>
  <c r="M413" i="12"/>
  <c r="P413" i="12" s="1"/>
  <c r="P414" i="12"/>
  <c r="K386" i="12"/>
  <c r="J374" i="12"/>
  <c r="R356" i="12"/>
  <c r="U356" i="12" s="1"/>
  <c r="U357" i="12"/>
  <c r="P194" i="12"/>
  <c r="M192" i="12"/>
  <c r="P192" i="12" s="1"/>
  <c r="T191" i="12"/>
  <c r="U191" i="12"/>
  <c r="S189" i="12"/>
  <c r="U189" i="12" s="1"/>
  <c r="S188" i="12"/>
  <c r="S186" i="12" s="1"/>
  <c r="S690" i="11"/>
  <c r="L100" i="9"/>
  <c r="O100" i="9" s="1"/>
  <c r="S693" i="10"/>
  <c r="N515" i="10"/>
  <c r="N513" i="10" s="1"/>
  <c r="I374" i="11"/>
  <c r="I701" i="12"/>
  <c r="K703" i="12"/>
  <c r="L690" i="12"/>
  <c r="O690" i="12" s="1"/>
  <c r="O691" i="12"/>
  <c r="U643" i="12"/>
  <c r="R534" i="12"/>
  <c r="U534" i="12" s="1"/>
  <c r="S413" i="12"/>
  <c r="R392" i="12"/>
  <c r="U392" i="12" s="1"/>
  <c r="P336" i="12"/>
  <c r="N323" i="12"/>
  <c r="N322" i="12"/>
  <c r="N320" i="12" s="1"/>
  <c r="L97" i="11"/>
  <c r="O97" i="11" s="1"/>
  <c r="O99" i="11"/>
  <c r="R690" i="12"/>
  <c r="U690" i="12" s="1"/>
  <c r="U691" i="12"/>
  <c r="R416" i="12"/>
  <c r="U416" i="12" s="1"/>
  <c r="R415" i="12"/>
  <c r="U418" i="12"/>
  <c r="S189" i="10"/>
  <c r="K783" i="11"/>
  <c r="I701" i="11"/>
  <c r="M515" i="11"/>
  <c r="P515" i="11" s="1"/>
  <c r="S189" i="11"/>
  <c r="S157" i="11"/>
  <c r="M97" i="11"/>
  <c r="P97" i="11" s="1"/>
  <c r="P77" i="11"/>
  <c r="S762" i="12"/>
  <c r="U762" i="12" s="1"/>
  <c r="K705" i="12"/>
  <c r="J701" i="12"/>
  <c r="M616" i="12"/>
  <c r="P616" i="12" s="1"/>
  <c r="P617" i="12"/>
  <c r="R576" i="12"/>
  <c r="U576" i="12" s="1"/>
  <c r="Q333" i="12"/>
  <c r="T333" i="12" s="1"/>
  <c r="P283" i="12"/>
  <c r="K183" i="11"/>
  <c r="O64" i="11"/>
  <c r="U765" i="12"/>
  <c r="P761" i="12"/>
  <c r="T733" i="12"/>
  <c r="U729" i="12"/>
  <c r="O729" i="12"/>
  <c r="U715" i="12"/>
  <c r="O715" i="12"/>
  <c r="U600" i="12"/>
  <c r="O600" i="12"/>
  <c r="U577" i="12"/>
  <c r="O577" i="12"/>
  <c r="U535" i="12"/>
  <c r="O535" i="12"/>
  <c r="P518" i="12"/>
  <c r="L516" i="12"/>
  <c r="O516" i="12" s="1"/>
  <c r="T514" i="12"/>
  <c r="U498" i="12"/>
  <c r="P494" i="12"/>
  <c r="U393" i="12"/>
  <c r="O393" i="12"/>
  <c r="K371" i="12"/>
  <c r="L362" i="12"/>
  <c r="O362" i="12" s="1"/>
  <c r="P338" i="12"/>
  <c r="L336" i="12"/>
  <c r="O336" i="12" s="1"/>
  <c r="T334" i="12"/>
  <c r="L326" i="12"/>
  <c r="O326" i="12" s="1"/>
  <c r="P290" i="12"/>
  <c r="O274" i="12"/>
  <c r="R269" i="12"/>
  <c r="R268" i="12"/>
  <c r="L243" i="12"/>
  <c r="I195" i="12"/>
  <c r="K195" i="12" s="1"/>
  <c r="T765" i="12"/>
  <c r="U695" i="12"/>
  <c r="U647" i="12"/>
  <c r="O518" i="12"/>
  <c r="K504" i="12"/>
  <c r="T498" i="12"/>
  <c r="O338" i="12"/>
  <c r="P328" i="12"/>
  <c r="L322" i="12"/>
  <c r="I302" i="12"/>
  <c r="K302" i="12" s="1"/>
  <c r="U284" i="12"/>
  <c r="M160" i="12"/>
  <c r="P160" i="12" s="1"/>
  <c r="K127" i="12"/>
  <c r="I116" i="12"/>
  <c r="K116" i="12" s="1"/>
  <c r="N515" i="12"/>
  <c r="N513" i="12" s="1"/>
  <c r="N335" i="12"/>
  <c r="N333" i="12" s="1"/>
  <c r="K152" i="12"/>
  <c r="I137" i="12"/>
  <c r="K137" i="12" s="1"/>
  <c r="M62" i="12"/>
  <c r="P64" i="12"/>
  <c r="L309" i="12"/>
  <c r="O309" i="12" s="1"/>
  <c r="P271" i="12"/>
  <c r="N269" i="12"/>
  <c r="P269" i="12" s="1"/>
  <c r="N268" i="12"/>
  <c r="N266" i="12" s="1"/>
  <c r="I253" i="12"/>
  <c r="K253" i="12" s="1"/>
  <c r="K260" i="12"/>
  <c r="L141" i="12"/>
  <c r="L142" i="12"/>
  <c r="O144" i="12"/>
  <c r="U19" i="12"/>
  <c r="N284" i="12"/>
  <c r="N282" i="12" s="1"/>
  <c r="J231" i="12"/>
  <c r="J185" i="12" s="1"/>
  <c r="I213" i="12"/>
  <c r="K213" i="12" s="1"/>
  <c r="K220" i="12"/>
  <c r="M188" i="12"/>
  <c r="M186" i="12" s="1"/>
  <c r="P191" i="12"/>
  <c r="M189" i="12"/>
  <c r="P189" i="12" s="1"/>
  <c r="U144" i="12"/>
  <c r="R141" i="12"/>
  <c r="R142" i="12"/>
  <c r="U142" i="12" s="1"/>
  <c r="M120" i="12"/>
  <c r="P120" i="12" s="1"/>
  <c r="L233" i="12"/>
  <c r="R188" i="12"/>
  <c r="U187" i="12"/>
  <c r="T178" i="12"/>
  <c r="O178" i="12"/>
  <c r="L176" i="12"/>
  <c r="L175" i="12"/>
  <c r="T162" i="12"/>
  <c r="O162" i="12"/>
  <c r="L160" i="12"/>
  <c r="O160" i="12" s="1"/>
  <c r="L159" i="12"/>
  <c r="O159" i="12" s="1"/>
  <c r="I156" i="12"/>
  <c r="K156" i="12" s="1"/>
  <c r="O147" i="12"/>
  <c r="T122" i="12"/>
  <c r="O122" i="12"/>
  <c r="L120" i="12"/>
  <c r="O120" i="12" s="1"/>
  <c r="L119" i="12"/>
  <c r="O119" i="12" s="1"/>
  <c r="N26" i="12"/>
  <c r="N24" i="12" s="1"/>
  <c r="K249" i="12"/>
  <c r="I242" i="12"/>
  <c r="O181" i="12"/>
  <c r="S176" i="12"/>
  <c r="S160" i="12"/>
  <c r="K154" i="12"/>
  <c r="Q142" i="12"/>
  <c r="T142" i="12" s="1"/>
  <c r="Q141" i="12"/>
  <c r="S120" i="12"/>
  <c r="T120" i="12" s="1"/>
  <c r="R96" i="12"/>
  <c r="U96" i="12" s="1"/>
  <c r="U99" i="12"/>
  <c r="R97" i="12"/>
  <c r="U97" i="12" s="1"/>
  <c r="I82" i="12"/>
  <c r="L26" i="12"/>
  <c r="Q72" i="12"/>
  <c r="T72" i="12" s="1"/>
  <c r="T60" i="12"/>
  <c r="M26" i="12"/>
  <c r="P26" i="12" s="1"/>
  <c r="M50" i="12"/>
  <c r="P50" i="12" s="1"/>
  <c r="K229" i="12"/>
  <c r="U178" i="12"/>
  <c r="R176" i="12"/>
  <c r="U176" i="12" s="1"/>
  <c r="R175" i="12"/>
  <c r="U175" i="12" s="1"/>
  <c r="U162" i="12"/>
  <c r="R160" i="12"/>
  <c r="U160" i="12" s="1"/>
  <c r="R159" i="12"/>
  <c r="U159" i="12" s="1"/>
  <c r="U122" i="12"/>
  <c r="R120" i="12"/>
  <c r="R119" i="12"/>
  <c r="U119" i="12" s="1"/>
  <c r="Q96" i="12"/>
  <c r="T96" i="12" s="1"/>
  <c r="S75" i="12"/>
  <c r="S23" i="12"/>
  <c r="S20" i="12" s="1"/>
  <c r="S18" i="12" s="1"/>
  <c r="M74" i="12"/>
  <c r="R72" i="12"/>
  <c r="U72" i="12" s="1"/>
  <c r="Q175" i="12"/>
  <c r="T175" i="12" s="1"/>
  <c r="Q159" i="12"/>
  <c r="T159" i="12" s="1"/>
  <c r="Q119" i="12"/>
  <c r="T119" i="12" s="1"/>
  <c r="N96" i="12"/>
  <c r="N94" i="12" s="1"/>
  <c r="P25" i="12"/>
  <c r="P22" i="12"/>
  <c r="M19" i="12"/>
  <c r="N176" i="12"/>
  <c r="T174" i="12"/>
  <c r="O165" i="12"/>
  <c r="L163" i="12"/>
  <c r="O163" i="12" s="1"/>
  <c r="N160" i="12"/>
  <c r="T158" i="12"/>
  <c r="O125" i="12"/>
  <c r="L123" i="12"/>
  <c r="O123" i="12" s="1"/>
  <c r="N120" i="12"/>
  <c r="T118" i="12"/>
  <c r="O102" i="12"/>
  <c r="L100" i="12"/>
  <c r="O100" i="12" s="1"/>
  <c r="U95" i="12"/>
  <c r="P80" i="12"/>
  <c r="O19" i="12"/>
  <c r="K153" i="12"/>
  <c r="P99" i="12"/>
  <c r="L97" i="12"/>
  <c r="O97" i="12" s="1"/>
  <c r="T95" i="12"/>
  <c r="O80" i="12"/>
  <c r="U77" i="12"/>
  <c r="O77" i="12"/>
  <c r="Q75" i="12"/>
  <c r="T75" i="12" s="1"/>
  <c r="O64" i="12"/>
  <c r="N50" i="12"/>
  <c r="O49" i="12"/>
  <c r="N23" i="12"/>
  <c r="O99" i="12"/>
  <c r="T77" i="12"/>
  <c r="M23" i="12"/>
  <c r="M46" i="12"/>
  <c r="R23" i="12"/>
  <c r="L23" i="12"/>
  <c r="Q23" i="12"/>
  <c r="R160" i="9"/>
  <c r="U160" i="9" s="1"/>
  <c r="U162" i="9"/>
  <c r="I172" i="9"/>
  <c r="K172" i="9" s="1"/>
  <c r="K183" i="9"/>
  <c r="M326" i="10"/>
  <c r="P326" i="10" s="1"/>
  <c r="P328" i="10"/>
  <c r="S762" i="11"/>
  <c r="S760" i="11" s="1"/>
  <c r="S763" i="11"/>
  <c r="Q616" i="11"/>
  <c r="O80" i="11"/>
  <c r="L78" i="11"/>
  <c r="O78" i="11" s="1"/>
  <c r="Q142" i="8"/>
  <c r="T142" i="8" s="1"/>
  <c r="R142" i="10"/>
  <c r="U142" i="10" s="1"/>
  <c r="U144" i="10"/>
  <c r="Q555" i="11"/>
  <c r="T555" i="11" s="1"/>
  <c r="L254" i="11"/>
  <c r="O254" i="11" s="1"/>
  <c r="S377" i="10"/>
  <c r="S375" i="10" s="1"/>
  <c r="S378" i="10"/>
  <c r="T378" i="10" s="1"/>
  <c r="M576" i="11"/>
  <c r="P576" i="11" s="1"/>
  <c r="P577" i="11"/>
  <c r="O494" i="11"/>
  <c r="L493" i="11"/>
  <c r="O493" i="11" s="1"/>
  <c r="R188" i="11"/>
  <c r="U188" i="11" s="1"/>
  <c r="R189" i="11"/>
  <c r="U191" i="11"/>
  <c r="T144" i="8"/>
  <c r="K772" i="11"/>
  <c r="I758" i="11"/>
  <c r="K758" i="11" s="1"/>
  <c r="S731" i="11"/>
  <c r="U731" i="11" s="1"/>
  <c r="S730" i="11"/>
  <c r="S728" i="11" s="1"/>
  <c r="T140" i="11"/>
  <c r="Q139" i="11"/>
  <c r="T139" i="11" s="1"/>
  <c r="I93" i="11"/>
  <c r="K93" i="11" s="1"/>
  <c r="K109" i="11"/>
  <c r="M519" i="10"/>
  <c r="P519" i="10" s="1"/>
  <c r="P521" i="10"/>
  <c r="M515" i="10"/>
  <c r="P515" i="10" s="1"/>
  <c r="O617" i="11"/>
  <c r="L616" i="11"/>
  <c r="O616" i="11" s="1"/>
  <c r="R513" i="11"/>
  <c r="U513" i="11" s="1"/>
  <c r="U514" i="11"/>
  <c r="M413" i="11"/>
  <c r="P413" i="11" s="1"/>
  <c r="N306" i="11"/>
  <c r="N305" i="11"/>
  <c r="N303" i="11" s="1"/>
  <c r="I195" i="11"/>
  <c r="K195" i="11" s="1"/>
  <c r="K198" i="11"/>
  <c r="S175" i="11"/>
  <c r="S173" i="11" s="1"/>
  <c r="S176" i="11"/>
  <c r="I137" i="11"/>
  <c r="K137" i="11" s="1"/>
  <c r="K152" i="11"/>
  <c r="M119" i="11"/>
  <c r="P119" i="11" s="1"/>
  <c r="P122" i="11"/>
  <c r="M120" i="11"/>
  <c r="P120" i="11" s="1"/>
  <c r="Q96" i="11"/>
  <c r="T99" i="11"/>
  <c r="L74" i="11"/>
  <c r="O74" i="11" s="1"/>
  <c r="L75" i="11"/>
  <c r="O75" i="11" s="1"/>
  <c r="O77" i="11"/>
  <c r="M516" i="11"/>
  <c r="P516" i="11" s="1"/>
  <c r="U418" i="11"/>
  <c r="R415" i="11"/>
  <c r="U415" i="11" s="1"/>
  <c r="R416" i="11"/>
  <c r="U416" i="11" s="1"/>
  <c r="S119" i="11"/>
  <c r="S117" i="11" s="1"/>
  <c r="U122" i="11"/>
  <c r="R74" i="11"/>
  <c r="U74" i="11" s="1"/>
  <c r="U77" i="11"/>
  <c r="L47" i="9"/>
  <c r="L192" i="10"/>
  <c r="O192" i="10" s="1"/>
  <c r="R189" i="10"/>
  <c r="U189" i="10" s="1"/>
  <c r="S94" i="10"/>
  <c r="K780" i="11"/>
  <c r="K632" i="11"/>
  <c r="K626" i="11"/>
  <c r="O521" i="11"/>
  <c r="M493" i="11"/>
  <c r="P493" i="11" s="1"/>
  <c r="T380" i="11"/>
  <c r="K369" i="11"/>
  <c r="S333" i="11"/>
  <c r="M309" i="11"/>
  <c r="P309" i="11" s="1"/>
  <c r="Q305" i="11"/>
  <c r="S282" i="11"/>
  <c r="S268" i="11"/>
  <c r="S266" i="11" s="1"/>
  <c r="L243" i="11"/>
  <c r="O243" i="11" s="1"/>
  <c r="L222" i="11"/>
  <c r="O222" i="11" s="1"/>
  <c r="O194" i="11"/>
  <c r="Q186" i="11"/>
  <c r="M159" i="11"/>
  <c r="P159" i="11" s="1"/>
  <c r="S160" i="11"/>
  <c r="Q142" i="11"/>
  <c r="T142" i="11" s="1"/>
  <c r="P125" i="11"/>
  <c r="R117" i="11"/>
  <c r="L119" i="11"/>
  <c r="O119" i="11" s="1"/>
  <c r="R120" i="11"/>
  <c r="U120" i="11" s="1"/>
  <c r="K108" i="11"/>
  <c r="P99" i="11"/>
  <c r="Q75" i="11"/>
  <c r="T75" i="11" s="1"/>
  <c r="S59" i="11"/>
  <c r="S44" i="11"/>
  <c r="M96" i="9"/>
  <c r="P96" i="9" s="1"/>
  <c r="S97" i="9"/>
  <c r="J701" i="10"/>
  <c r="R377" i="10"/>
  <c r="M305" i="10"/>
  <c r="P305" i="10" s="1"/>
  <c r="N305" i="10"/>
  <c r="N303" i="10" s="1"/>
  <c r="I93" i="10"/>
  <c r="K93" i="10" s="1"/>
  <c r="K615" i="11"/>
  <c r="S555" i="11"/>
  <c r="R496" i="11"/>
  <c r="U496" i="11" s="1"/>
  <c r="S495" i="11"/>
  <c r="S493" i="11" s="1"/>
  <c r="P376" i="11"/>
  <c r="M358" i="11"/>
  <c r="M356" i="11" s="1"/>
  <c r="N335" i="11"/>
  <c r="N333" i="11" s="1"/>
  <c r="N336" i="11"/>
  <c r="P325" i="11"/>
  <c r="N323" i="11"/>
  <c r="O290" i="11"/>
  <c r="M288" i="11"/>
  <c r="P288" i="11" s="1"/>
  <c r="O274" i="11"/>
  <c r="L268" i="11"/>
  <c r="L266" i="11" s="1"/>
  <c r="O266" i="11" s="1"/>
  <c r="L233" i="11"/>
  <c r="N188" i="11"/>
  <c r="N186" i="11" s="1"/>
  <c r="L159" i="11"/>
  <c r="O159" i="11" s="1"/>
  <c r="R160" i="11"/>
  <c r="U160" i="11" s="1"/>
  <c r="U268" i="10"/>
  <c r="K785" i="11"/>
  <c r="Q762" i="11"/>
  <c r="T762" i="11" s="1"/>
  <c r="S714" i="11"/>
  <c r="J702" i="11"/>
  <c r="M599" i="11"/>
  <c r="P599" i="11" s="1"/>
  <c r="M534" i="11"/>
  <c r="P534" i="11" s="1"/>
  <c r="Q392" i="11"/>
  <c r="T392" i="11" s="1"/>
  <c r="N375" i="11"/>
  <c r="J332" i="11"/>
  <c r="M323" i="11"/>
  <c r="P323" i="11" s="1"/>
  <c r="N268" i="11"/>
  <c r="N266" i="11" s="1"/>
  <c r="M188" i="11"/>
  <c r="M186" i="11" s="1"/>
  <c r="P176" i="11"/>
  <c r="I136" i="11"/>
  <c r="K136" i="11" s="1"/>
  <c r="K127" i="11"/>
  <c r="N19" i="11"/>
  <c r="S378" i="9"/>
  <c r="L235" i="10"/>
  <c r="L159" i="10"/>
  <c r="O159" i="10" s="1"/>
  <c r="R157" i="10"/>
  <c r="U157" i="10" s="1"/>
  <c r="O47" i="10"/>
  <c r="Q763" i="11"/>
  <c r="T763" i="11" s="1"/>
  <c r="J701" i="11"/>
  <c r="J458" i="11"/>
  <c r="T418" i="11"/>
  <c r="Q416" i="11"/>
  <c r="T416" i="11" s="1"/>
  <c r="M362" i="11"/>
  <c r="P362" i="11" s="1"/>
  <c r="L323" i="11"/>
  <c r="O323" i="11" s="1"/>
  <c r="T306" i="11"/>
  <c r="I280" i="11"/>
  <c r="K280" i="11" s="1"/>
  <c r="M268" i="11"/>
  <c r="M266" i="11" s="1"/>
  <c r="L234" i="11"/>
  <c r="L188" i="11"/>
  <c r="L186" i="11" s="1"/>
  <c r="N141" i="11"/>
  <c r="N139" i="11" s="1"/>
  <c r="S97" i="11"/>
  <c r="K784" i="9"/>
  <c r="K778" i="9"/>
  <c r="I689" i="9"/>
  <c r="K689" i="9" s="1"/>
  <c r="K784" i="10"/>
  <c r="K781" i="10"/>
  <c r="K778" i="10"/>
  <c r="S619" i="10"/>
  <c r="U619" i="10" s="1"/>
  <c r="S415" i="10"/>
  <c r="S413" i="10" s="1"/>
  <c r="L236" i="10"/>
  <c r="O67" i="10"/>
  <c r="K781" i="11"/>
  <c r="S693" i="11"/>
  <c r="T693" i="11" s="1"/>
  <c r="Q692" i="11"/>
  <c r="Q690" i="11" s="1"/>
  <c r="L690" i="11"/>
  <c r="O690" i="11" s="1"/>
  <c r="O556" i="11"/>
  <c r="N515" i="11"/>
  <c r="N513" i="11" s="1"/>
  <c r="N516" i="11"/>
  <c r="I423" i="11"/>
  <c r="K386" i="11"/>
  <c r="J351" i="11"/>
  <c r="P341" i="11"/>
  <c r="P308" i="11"/>
  <c r="L306" i="11"/>
  <c r="O306" i="11" s="1"/>
  <c r="L236" i="11"/>
  <c r="N232" i="11"/>
  <c r="Q189" i="11"/>
  <c r="M179" i="11"/>
  <c r="P179" i="11" s="1"/>
  <c r="O165" i="11"/>
  <c r="O162" i="11"/>
  <c r="L160" i="11"/>
  <c r="O160" i="11" s="1"/>
  <c r="O147" i="11"/>
  <c r="U144" i="11"/>
  <c r="T122" i="11"/>
  <c r="N119" i="11"/>
  <c r="N117" i="11" s="1"/>
  <c r="O118" i="11"/>
  <c r="L96" i="11"/>
  <c r="O96" i="11" s="1"/>
  <c r="R97" i="11"/>
  <c r="U97" i="11" s="1"/>
  <c r="S24" i="11"/>
  <c r="T644" i="11"/>
  <c r="Q642" i="11"/>
  <c r="T642" i="11" s="1"/>
  <c r="L375" i="11"/>
  <c r="O375" i="11" s="1"/>
  <c r="O376" i="11"/>
  <c r="P287" i="11"/>
  <c r="M284" i="11"/>
  <c r="M285" i="11"/>
  <c r="P285" i="11" s="1"/>
  <c r="K369" i="9"/>
  <c r="R415" i="10"/>
  <c r="U415" i="10" s="1"/>
  <c r="L203" i="10"/>
  <c r="O203" i="10" s="1"/>
  <c r="R730" i="11"/>
  <c r="Q714" i="11"/>
  <c r="T714" i="11" s="1"/>
  <c r="S599" i="11"/>
  <c r="O518" i="11"/>
  <c r="L516" i="11"/>
  <c r="O516" i="11" s="1"/>
  <c r="U376" i="11"/>
  <c r="L362" i="11"/>
  <c r="O362" i="11" s="1"/>
  <c r="L358" i="11"/>
  <c r="O364" i="11"/>
  <c r="P274" i="11"/>
  <c r="M272" i="11"/>
  <c r="P272" i="11" s="1"/>
  <c r="O158" i="11"/>
  <c r="K127" i="9"/>
  <c r="K772" i="10"/>
  <c r="R618" i="10"/>
  <c r="U618" i="10" s="1"/>
  <c r="I423" i="10"/>
  <c r="I412" i="10" s="1"/>
  <c r="K412" i="10" s="1"/>
  <c r="U380" i="10"/>
  <c r="K330" i="10"/>
  <c r="O287" i="10"/>
  <c r="K260" i="10"/>
  <c r="K229" i="10"/>
  <c r="L222" i="10"/>
  <c r="O222" i="10" s="1"/>
  <c r="I202" i="10"/>
  <c r="K202" i="10" s="1"/>
  <c r="S159" i="10"/>
  <c r="S157" i="10" s="1"/>
  <c r="S160" i="10"/>
  <c r="N74" i="10"/>
  <c r="N72" i="10" s="1"/>
  <c r="K784" i="11"/>
  <c r="T695" i="11"/>
  <c r="O691" i="11"/>
  <c r="Q645" i="11"/>
  <c r="T645" i="11" s="1"/>
  <c r="O643" i="11"/>
  <c r="S619" i="11"/>
  <c r="T621" i="11"/>
  <c r="S618" i="11"/>
  <c r="T618" i="11" s="1"/>
  <c r="R599" i="11"/>
  <c r="U599" i="11" s="1"/>
  <c r="R576" i="11"/>
  <c r="U576" i="11" s="1"/>
  <c r="R534" i="11"/>
  <c r="U534" i="11" s="1"/>
  <c r="Q513" i="11"/>
  <c r="T513" i="11" s="1"/>
  <c r="U494" i="11"/>
  <c r="R493" i="11"/>
  <c r="U493" i="11" s="1"/>
  <c r="R392" i="11"/>
  <c r="U392" i="11" s="1"/>
  <c r="K365" i="11"/>
  <c r="P338" i="11"/>
  <c r="M335" i="11"/>
  <c r="M336" i="11"/>
  <c r="Q333" i="11"/>
  <c r="T333" i="11" s="1"/>
  <c r="U269" i="11"/>
  <c r="T162" i="11"/>
  <c r="Q159" i="11"/>
  <c r="Q160" i="11"/>
  <c r="T160" i="11" s="1"/>
  <c r="L728" i="11"/>
  <c r="O728" i="11" s="1"/>
  <c r="O729" i="11"/>
  <c r="K346" i="8"/>
  <c r="Q496" i="10"/>
  <c r="T496" i="10" s="1"/>
  <c r="S576" i="11"/>
  <c r="U304" i="11"/>
  <c r="O287" i="11"/>
  <c r="L285" i="11"/>
  <c r="O285" i="11" s="1"/>
  <c r="L284" i="11"/>
  <c r="T162" i="8"/>
  <c r="K785" i="9"/>
  <c r="P328" i="9"/>
  <c r="O274" i="9"/>
  <c r="T178" i="9"/>
  <c r="O518" i="10"/>
  <c r="P341" i="10"/>
  <c r="L339" i="10"/>
  <c r="O339" i="10" s="1"/>
  <c r="M268" i="10"/>
  <c r="M266" i="10" s="1"/>
  <c r="L119" i="10"/>
  <c r="O119" i="10" s="1"/>
  <c r="P49" i="10"/>
  <c r="U691" i="11"/>
  <c r="N690" i="11"/>
  <c r="T647" i="11"/>
  <c r="N642" i="11"/>
  <c r="R618" i="11"/>
  <c r="U621" i="11"/>
  <c r="Q599" i="11"/>
  <c r="T599" i="11" s="1"/>
  <c r="T600" i="11"/>
  <c r="Q576" i="11"/>
  <c r="T576" i="11" s="1"/>
  <c r="T577" i="11"/>
  <c r="Q534" i="11"/>
  <c r="T534" i="11" s="1"/>
  <c r="T535" i="11"/>
  <c r="T494" i="11"/>
  <c r="O361" i="11"/>
  <c r="N358" i="11"/>
  <c r="N356" i="11" s="1"/>
  <c r="P361" i="11"/>
  <c r="P359" i="11"/>
  <c r="L336" i="11"/>
  <c r="L335" i="11"/>
  <c r="O338" i="11"/>
  <c r="O311" i="11"/>
  <c r="L305" i="11"/>
  <c r="O305" i="11" s="1"/>
  <c r="L309" i="11"/>
  <c r="O309" i="11" s="1"/>
  <c r="K292" i="11"/>
  <c r="M78" i="10"/>
  <c r="P78" i="10" s="1"/>
  <c r="P80" i="10"/>
  <c r="L392" i="11"/>
  <c r="O392" i="11" s="1"/>
  <c r="O394" i="11"/>
  <c r="P334" i="11"/>
  <c r="O304" i="11"/>
  <c r="P144" i="11"/>
  <c r="M142" i="11"/>
  <c r="P142" i="11" s="1"/>
  <c r="M141" i="11"/>
  <c r="P141" i="11" s="1"/>
  <c r="K782" i="11"/>
  <c r="L534" i="11"/>
  <c r="O534" i="11" s="1"/>
  <c r="Q356" i="11"/>
  <c r="T356" i="11" s="1"/>
  <c r="I701" i="10"/>
  <c r="K701" i="10" s="1"/>
  <c r="K629" i="10"/>
  <c r="O308" i="10"/>
  <c r="P290" i="10"/>
  <c r="T271" i="10"/>
  <c r="L78" i="10"/>
  <c r="O78" i="10" s="1"/>
  <c r="R762" i="11"/>
  <c r="U762" i="11" s="1"/>
  <c r="U765" i="11"/>
  <c r="U733" i="11"/>
  <c r="L714" i="11"/>
  <c r="O714" i="11" s="1"/>
  <c r="O715" i="11"/>
  <c r="R692" i="11"/>
  <c r="U692" i="11" s="1"/>
  <c r="U695" i="11"/>
  <c r="M690" i="11"/>
  <c r="P690" i="11" s="1"/>
  <c r="M642" i="11"/>
  <c r="P642" i="11" s="1"/>
  <c r="P643" i="11"/>
  <c r="M555" i="11"/>
  <c r="P555" i="11" s="1"/>
  <c r="P556" i="11"/>
  <c r="L515" i="11"/>
  <c r="O515" i="11" s="1"/>
  <c r="J503" i="11"/>
  <c r="J492" i="11" s="1"/>
  <c r="L339" i="11"/>
  <c r="O339" i="11" s="1"/>
  <c r="O321" i="11"/>
  <c r="I302" i="11"/>
  <c r="K302" i="11" s="1"/>
  <c r="K314" i="11"/>
  <c r="T271" i="11"/>
  <c r="Q268" i="11"/>
  <c r="Q269" i="11"/>
  <c r="T269" i="11" s="1"/>
  <c r="L175" i="11"/>
  <c r="L173" i="11" s="1"/>
  <c r="L176" i="11"/>
  <c r="O176" i="11" s="1"/>
  <c r="O178" i="11"/>
  <c r="R74" i="10"/>
  <c r="U74" i="10" s="1"/>
  <c r="R75" i="10"/>
  <c r="U75" i="10" s="1"/>
  <c r="M760" i="11"/>
  <c r="P760" i="11" s="1"/>
  <c r="P761" i="11"/>
  <c r="M616" i="11"/>
  <c r="P616" i="11" s="1"/>
  <c r="P617" i="11"/>
  <c r="Q320" i="11"/>
  <c r="T320" i="11" s="1"/>
  <c r="T321" i="11"/>
  <c r="P95" i="11"/>
  <c r="L214" i="10"/>
  <c r="O214" i="10" s="1"/>
  <c r="Q730" i="11"/>
  <c r="T733" i="11"/>
  <c r="U729" i="11"/>
  <c r="L599" i="11"/>
  <c r="O599" i="11" s="1"/>
  <c r="L576" i="11"/>
  <c r="O576" i="11" s="1"/>
  <c r="S534" i="11"/>
  <c r="Q413" i="11"/>
  <c r="T413" i="11" s="1"/>
  <c r="O174" i="11"/>
  <c r="P290" i="9"/>
  <c r="L234" i="9"/>
  <c r="K780" i="10"/>
  <c r="K503" i="10"/>
  <c r="Q495" i="10"/>
  <c r="O361" i="10"/>
  <c r="K344" i="10"/>
  <c r="L61" i="10"/>
  <c r="L59" i="10" s="1"/>
  <c r="K778" i="11"/>
  <c r="N760" i="11"/>
  <c r="M728" i="11"/>
  <c r="P728" i="11" s="1"/>
  <c r="R714" i="11"/>
  <c r="U714" i="11" s="1"/>
  <c r="U715" i="11"/>
  <c r="K703" i="11"/>
  <c r="R645" i="11"/>
  <c r="U645" i="11" s="1"/>
  <c r="R644" i="11"/>
  <c r="U644" i="11" s="1"/>
  <c r="U647" i="11"/>
  <c r="R619" i="11"/>
  <c r="K503" i="11"/>
  <c r="I492" i="11"/>
  <c r="K492" i="11" s="1"/>
  <c r="Q496" i="11"/>
  <c r="T496" i="11" s="1"/>
  <c r="Q495" i="11"/>
  <c r="T495" i="11" s="1"/>
  <c r="T498" i="11"/>
  <c r="L413" i="11"/>
  <c r="O413" i="11" s="1"/>
  <c r="K368" i="11"/>
  <c r="O359" i="11"/>
  <c r="I332" i="11"/>
  <c r="R320" i="11"/>
  <c r="U320" i="11" s="1"/>
  <c r="U321" i="11"/>
  <c r="I238" i="11"/>
  <c r="K238" i="11" s="1"/>
  <c r="I242" i="11"/>
  <c r="N141" i="10"/>
  <c r="N139" i="10" s="1"/>
  <c r="K629" i="11"/>
  <c r="U600" i="11"/>
  <c r="O600" i="11"/>
  <c r="U577" i="11"/>
  <c r="O577" i="11"/>
  <c r="U535" i="11"/>
  <c r="O535" i="11"/>
  <c r="P518" i="11"/>
  <c r="T514" i="11"/>
  <c r="U498" i="11"/>
  <c r="T414" i="11"/>
  <c r="M392" i="11"/>
  <c r="P392" i="11" s="1"/>
  <c r="R333" i="11"/>
  <c r="U333" i="11" s="1"/>
  <c r="K330" i="11"/>
  <c r="L322" i="11"/>
  <c r="O322" i="11" s="1"/>
  <c r="T308" i="11"/>
  <c r="M305" i="11"/>
  <c r="Q282" i="11"/>
  <c r="T282" i="11" s="1"/>
  <c r="O271" i="11"/>
  <c r="T267" i="11"/>
  <c r="I265" i="11"/>
  <c r="K265" i="11" s="1"/>
  <c r="K229" i="11"/>
  <c r="P187" i="11"/>
  <c r="U158" i="11"/>
  <c r="R157" i="11"/>
  <c r="U157" i="11" s="1"/>
  <c r="L142" i="11"/>
  <c r="O142" i="11" s="1"/>
  <c r="O144" i="11"/>
  <c r="L23" i="11"/>
  <c r="L21" i="11" s="1"/>
  <c r="R94" i="11"/>
  <c r="U94" i="11" s="1"/>
  <c r="U96" i="11"/>
  <c r="N47" i="11"/>
  <c r="O47" i="11" s="1"/>
  <c r="O49" i="11"/>
  <c r="N46" i="11"/>
  <c r="N44" i="11" s="1"/>
  <c r="U19" i="11"/>
  <c r="N23" i="11"/>
  <c r="N493" i="11"/>
  <c r="S416" i="11"/>
  <c r="S392" i="11"/>
  <c r="K220" i="11"/>
  <c r="S142" i="11"/>
  <c r="S141" i="11"/>
  <c r="S139" i="11" s="1"/>
  <c r="M47" i="11"/>
  <c r="M46" i="11"/>
  <c r="M44" i="11" s="1"/>
  <c r="P49" i="11"/>
  <c r="M23" i="11"/>
  <c r="M21" i="11" s="1"/>
  <c r="R306" i="11"/>
  <c r="U306" i="11" s="1"/>
  <c r="M269" i="11"/>
  <c r="P269" i="11" s="1"/>
  <c r="P191" i="11"/>
  <c r="N189" i="11"/>
  <c r="P189" i="11" s="1"/>
  <c r="O191" i="11"/>
  <c r="T178" i="11"/>
  <c r="Q176" i="11"/>
  <c r="T176" i="11" s="1"/>
  <c r="Q175" i="11"/>
  <c r="Q377" i="11"/>
  <c r="T377" i="11" s="1"/>
  <c r="K371" i="11"/>
  <c r="J343" i="11"/>
  <c r="R305" i="11"/>
  <c r="N284" i="11"/>
  <c r="N282" i="11" s="1"/>
  <c r="R282" i="11"/>
  <c r="U282" i="11" s="1"/>
  <c r="R268" i="11"/>
  <c r="U271" i="11"/>
  <c r="I253" i="11"/>
  <c r="K253" i="11" s="1"/>
  <c r="K260" i="11"/>
  <c r="U187" i="11"/>
  <c r="P174" i="11"/>
  <c r="Q117" i="11"/>
  <c r="K230" i="11"/>
  <c r="O187" i="11"/>
  <c r="O181" i="11"/>
  <c r="L179" i="11"/>
  <c r="O179" i="11" s="1"/>
  <c r="S94" i="11"/>
  <c r="Q72" i="11"/>
  <c r="T72" i="11" s="1"/>
  <c r="N62" i="11"/>
  <c r="P64" i="11"/>
  <c r="N61" i="11"/>
  <c r="N59" i="11" s="1"/>
  <c r="M26" i="11"/>
  <c r="P26" i="11" s="1"/>
  <c r="P19" i="11"/>
  <c r="S19" i="11"/>
  <c r="S186" i="11"/>
  <c r="R175" i="11"/>
  <c r="U175" i="11" s="1"/>
  <c r="U178" i="11"/>
  <c r="O52" i="11"/>
  <c r="L26" i="11"/>
  <c r="O26" i="11" s="1"/>
  <c r="L50" i="11"/>
  <c r="O50" i="11" s="1"/>
  <c r="R44" i="11"/>
  <c r="U44" i="11" s="1"/>
  <c r="O25" i="11"/>
  <c r="L19" i="11"/>
  <c r="P140" i="11"/>
  <c r="I82" i="11"/>
  <c r="K84" i="11"/>
  <c r="M61" i="11"/>
  <c r="M59" i="11" s="1"/>
  <c r="P67" i="11"/>
  <c r="M65" i="11"/>
  <c r="P65" i="11" s="1"/>
  <c r="O67" i="11"/>
  <c r="L65" i="11"/>
  <c r="O65" i="11" s="1"/>
  <c r="R24" i="11"/>
  <c r="U24" i="11" s="1"/>
  <c r="U25" i="11"/>
  <c r="P178" i="11"/>
  <c r="O140" i="11"/>
  <c r="Q97" i="11"/>
  <c r="T97" i="11" s="1"/>
  <c r="I83" i="11"/>
  <c r="P80" i="11"/>
  <c r="M74" i="11"/>
  <c r="P74" i="11" s="1"/>
  <c r="P73" i="11"/>
  <c r="R59" i="11"/>
  <c r="U59" i="11" s="1"/>
  <c r="L46" i="11"/>
  <c r="L44" i="11" s="1"/>
  <c r="Q19" i="11"/>
  <c r="N159" i="11"/>
  <c r="N157" i="11" s="1"/>
  <c r="P147" i="11"/>
  <c r="M145" i="11"/>
  <c r="P145" i="11" s="1"/>
  <c r="R141" i="11"/>
  <c r="U141" i="11" s="1"/>
  <c r="U140" i="11"/>
  <c r="Q120" i="11"/>
  <c r="T120" i="11" s="1"/>
  <c r="L61" i="11"/>
  <c r="P52" i="11"/>
  <c r="N26" i="11"/>
  <c r="N24" i="11" s="1"/>
  <c r="P25" i="11"/>
  <c r="Q24" i="11"/>
  <c r="T24" i="11" s="1"/>
  <c r="S23" i="11"/>
  <c r="S20" i="11" s="1"/>
  <c r="O22" i="11"/>
  <c r="N175" i="11"/>
  <c r="N173" i="11" s="1"/>
  <c r="K169" i="11"/>
  <c r="I156" i="11"/>
  <c r="K156" i="11" s="1"/>
  <c r="K153" i="11"/>
  <c r="S74" i="11"/>
  <c r="S72" i="11" s="1"/>
  <c r="P45" i="11"/>
  <c r="R23" i="11"/>
  <c r="R21" i="11" s="1"/>
  <c r="U22" i="11"/>
  <c r="M175" i="11"/>
  <c r="N142" i="11"/>
  <c r="N96" i="11"/>
  <c r="N94" i="11" s="1"/>
  <c r="P60" i="11"/>
  <c r="Q23" i="11"/>
  <c r="S188" i="8"/>
  <c r="T188" i="8" s="1"/>
  <c r="S189" i="8"/>
  <c r="U189" i="8" s="1"/>
  <c r="S645" i="10"/>
  <c r="S644" i="10"/>
  <c r="S642" i="10" s="1"/>
  <c r="Q534" i="10"/>
  <c r="T534" i="10" s="1"/>
  <c r="T535" i="10"/>
  <c r="P325" i="10"/>
  <c r="M322" i="10"/>
  <c r="P322" i="10" s="1"/>
  <c r="R644" i="9"/>
  <c r="U644" i="9" s="1"/>
  <c r="R645" i="9"/>
  <c r="U645" i="9" s="1"/>
  <c r="S175" i="9"/>
  <c r="S173" i="9" s="1"/>
  <c r="S176" i="9"/>
  <c r="R763" i="10"/>
  <c r="U763" i="10" s="1"/>
  <c r="R762" i="10"/>
  <c r="R760" i="10" s="1"/>
  <c r="O328" i="10"/>
  <c r="L326" i="10"/>
  <c r="O326" i="10" s="1"/>
  <c r="P321" i="10"/>
  <c r="R495" i="9"/>
  <c r="R493" i="9" s="1"/>
  <c r="U493" i="9" s="1"/>
  <c r="R496" i="9"/>
  <c r="U496" i="9" s="1"/>
  <c r="M322" i="9"/>
  <c r="P322" i="9" s="1"/>
  <c r="M760" i="10"/>
  <c r="P760" i="10" s="1"/>
  <c r="P761" i="10"/>
  <c r="T733" i="10"/>
  <c r="Q730" i="10"/>
  <c r="Q731" i="10"/>
  <c r="T731" i="10" s="1"/>
  <c r="P691" i="10"/>
  <c r="M690" i="10"/>
  <c r="P690" i="10" s="1"/>
  <c r="J674" i="10"/>
  <c r="Q305" i="10"/>
  <c r="T305" i="10" s="1"/>
  <c r="Q306" i="10"/>
  <c r="T306" i="10" s="1"/>
  <c r="T308" i="10"/>
  <c r="P191" i="10"/>
  <c r="M189" i="10"/>
  <c r="P189" i="10" s="1"/>
  <c r="R188" i="9"/>
  <c r="U188" i="9" s="1"/>
  <c r="R189" i="9"/>
  <c r="T715" i="10"/>
  <c r="Q714" i="10"/>
  <c r="T714" i="10" s="1"/>
  <c r="L576" i="10"/>
  <c r="O576" i="10" s="1"/>
  <c r="O577" i="10"/>
  <c r="O494" i="10"/>
  <c r="L493" i="10"/>
  <c r="O493" i="10" s="1"/>
  <c r="L47" i="8"/>
  <c r="O49" i="8"/>
  <c r="K198" i="9"/>
  <c r="I195" i="9"/>
  <c r="K195" i="9" s="1"/>
  <c r="Q693" i="10"/>
  <c r="T693" i="10" s="1"/>
  <c r="T695" i="10"/>
  <c r="Q692" i="10"/>
  <c r="T692" i="10" s="1"/>
  <c r="S690" i="10"/>
  <c r="M192" i="10"/>
  <c r="P192" i="10" s="1"/>
  <c r="P194" i="10"/>
  <c r="Q416" i="10"/>
  <c r="T416" i="10" s="1"/>
  <c r="T418" i="10"/>
  <c r="Q415" i="10"/>
  <c r="T415" i="10" s="1"/>
  <c r="M323" i="10"/>
  <c r="P323" i="10" s="1"/>
  <c r="K758" i="10"/>
  <c r="N534" i="10"/>
  <c r="K365" i="10"/>
  <c r="K368" i="10"/>
  <c r="N335" i="10"/>
  <c r="N333" i="10" s="1"/>
  <c r="L322" i="10"/>
  <c r="O322" i="10" s="1"/>
  <c r="S320" i="10"/>
  <c r="L188" i="10"/>
  <c r="L186" i="10" s="1"/>
  <c r="M141" i="10"/>
  <c r="P141" i="10" s="1"/>
  <c r="S142" i="10"/>
  <c r="R24" i="10"/>
  <c r="U24" i="10" s="1"/>
  <c r="K779" i="9"/>
  <c r="S619" i="9"/>
  <c r="K440" i="9"/>
  <c r="S416" i="9"/>
  <c r="M358" i="9"/>
  <c r="M356" i="9" s="1"/>
  <c r="I280" i="9"/>
  <c r="K280" i="9" s="1"/>
  <c r="M160" i="9"/>
  <c r="P160" i="9" s="1"/>
  <c r="N46" i="9"/>
  <c r="N44" i="9" s="1"/>
  <c r="K785" i="10"/>
  <c r="K779" i="10"/>
  <c r="K774" i="10"/>
  <c r="L728" i="10"/>
  <c r="O728" i="10" s="1"/>
  <c r="U621" i="10"/>
  <c r="I615" i="10"/>
  <c r="K615" i="10" s="1"/>
  <c r="S599" i="10"/>
  <c r="M534" i="10"/>
  <c r="P534" i="10" s="1"/>
  <c r="U418" i="10"/>
  <c r="L413" i="10"/>
  <c r="O413" i="10" s="1"/>
  <c r="K386" i="10"/>
  <c r="Q377" i="10"/>
  <c r="Q375" i="10" s="1"/>
  <c r="I374" i="10"/>
  <c r="O311" i="10"/>
  <c r="U308" i="10"/>
  <c r="K292" i="10"/>
  <c r="L288" i="10"/>
  <c r="O288" i="10" s="1"/>
  <c r="J231" i="10"/>
  <c r="J185" i="10" s="1"/>
  <c r="M160" i="10"/>
  <c r="P160" i="10" s="1"/>
  <c r="I156" i="10"/>
  <c r="K156" i="10" s="1"/>
  <c r="Q142" i="10"/>
  <c r="T142" i="10" s="1"/>
  <c r="S139" i="10"/>
  <c r="R94" i="10"/>
  <c r="U94" i="10" s="1"/>
  <c r="I83" i="10"/>
  <c r="I71" i="10" s="1"/>
  <c r="K71" i="10" s="1"/>
  <c r="L74" i="10"/>
  <c r="O74" i="10" s="1"/>
  <c r="N75" i="10"/>
  <c r="N46" i="10"/>
  <c r="N44" i="10" s="1"/>
  <c r="R59" i="10"/>
  <c r="U59" i="10" s="1"/>
  <c r="K386" i="8"/>
  <c r="K779" i="7"/>
  <c r="R692" i="8"/>
  <c r="U692" i="8" s="1"/>
  <c r="Q645" i="9"/>
  <c r="T645" i="9" s="1"/>
  <c r="L236" i="9"/>
  <c r="U77" i="9"/>
  <c r="O77" i="9"/>
  <c r="L760" i="10"/>
  <c r="O760" i="10" s="1"/>
  <c r="M714" i="10"/>
  <c r="P714" i="10" s="1"/>
  <c r="K707" i="10"/>
  <c r="J675" i="10"/>
  <c r="Q644" i="10"/>
  <c r="T644" i="10" s="1"/>
  <c r="L519" i="10"/>
  <c r="O519" i="10" s="1"/>
  <c r="L515" i="10"/>
  <c r="O515" i="10" s="1"/>
  <c r="R513" i="10"/>
  <c r="U513" i="10" s="1"/>
  <c r="K457" i="10"/>
  <c r="K276" i="10"/>
  <c r="K198" i="10"/>
  <c r="O158" i="10"/>
  <c r="N142" i="10"/>
  <c r="L75" i="10"/>
  <c r="O75" i="10" s="1"/>
  <c r="P64" i="10"/>
  <c r="T60" i="10"/>
  <c r="O52" i="10"/>
  <c r="P47" i="10"/>
  <c r="U22" i="10"/>
  <c r="N19" i="10"/>
  <c r="K781" i="9"/>
  <c r="U178" i="9"/>
  <c r="T119" i="9"/>
  <c r="O691" i="10"/>
  <c r="S534" i="10"/>
  <c r="N493" i="10"/>
  <c r="J458" i="10"/>
  <c r="P414" i="10"/>
  <c r="T393" i="10"/>
  <c r="P361" i="10"/>
  <c r="K195" i="10"/>
  <c r="L189" i="10"/>
  <c r="O189" i="10" s="1"/>
  <c r="U158" i="10"/>
  <c r="P147" i="10"/>
  <c r="P144" i="10"/>
  <c r="M142" i="10"/>
  <c r="P142" i="10" s="1"/>
  <c r="R117" i="10"/>
  <c r="U117" i="10" s="1"/>
  <c r="M96" i="10"/>
  <c r="P96" i="10" s="1"/>
  <c r="S97" i="10"/>
  <c r="P95" i="10"/>
  <c r="N61" i="10"/>
  <c r="L62" i="10"/>
  <c r="O62" i="10" s="1"/>
  <c r="L46" i="10"/>
  <c r="L44" i="10" s="1"/>
  <c r="Q44" i="10"/>
  <c r="T44" i="10" s="1"/>
  <c r="T22" i="10"/>
  <c r="K780" i="9"/>
  <c r="K783" i="8"/>
  <c r="K780" i="8"/>
  <c r="P178" i="8"/>
  <c r="U144" i="9"/>
  <c r="O125" i="9"/>
  <c r="U731" i="10"/>
  <c r="R714" i="10"/>
  <c r="U714" i="10" s="1"/>
  <c r="J702" i="10"/>
  <c r="N690" i="10"/>
  <c r="M642" i="10"/>
  <c r="P642" i="10" s="1"/>
  <c r="L616" i="10"/>
  <c r="O616" i="10" s="1"/>
  <c r="N599" i="10"/>
  <c r="R555" i="10"/>
  <c r="U555" i="10" s="1"/>
  <c r="O414" i="10"/>
  <c r="S392" i="10"/>
  <c r="K369" i="10"/>
  <c r="M359" i="10"/>
  <c r="P359" i="10" s="1"/>
  <c r="S305" i="10"/>
  <c r="S303" i="10" s="1"/>
  <c r="K293" i="10"/>
  <c r="N268" i="10"/>
  <c r="N266" i="10" s="1"/>
  <c r="L233" i="10"/>
  <c r="N188" i="10"/>
  <c r="N186" i="10" s="1"/>
  <c r="S175" i="10"/>
  <c r="S173" i="10" s="1"/>
  <c r="O147" i="10"/>
  <c r="O144" i="10"/>
  <c r="Q141" i="10"/>
  <c r="T141" i="10" s="1"/>
  <c r="S120" i="10"/>
  <c r="M100" i="10"/>
  <c r="P100" i="10" s="1"/>
  <c r="L96" i="10"/>
  <c r="O96" i="10" s="1"/>
  <c r="M97" i="10"/>
  <c r="P97" i="10" s="1"/>
  <c r="P77" i="10"/>
  <c r="P62" i="10"/>
  <c r="S59" i="10"/>
  <c r="S19" i="10"/>
  <c r="L19" i="10"/>
  <c r="R642" i="10"/>
  <c r="U642" i="10" s="1"/>
  <c r="U644" i="10"/>
  <c r="R690" i="10"/>
  <c r="U690" i="10" s="1"/>
  <c r="Q760" i="10"/>
  <c r="Q618" i="10"/>
  <c r="T618" i="10" s="1"/>
  <c r="O274" i="10"/>
  <c r="L272" i="10"/>
  <c r="O272" i="10" s="1"/>
  <c r="S618" i="7"/>
  <c r="S616" i="7" s="1"/>
  <c r="P521" i="8"/>
  <c r="J351" i="8"/>
  <c r="K209" i="8"/>
  <c r="S160" i="8"/>
  <c r="Q693" i="9"/>
  <c r="T693" i="9" s="1"/>
  <c r="S692" i="9"/>
  <c r="U692" i="9" s="1"/>
  <c r="R619" i="9"/>
  <c r="I456" i="9"/>
  <c r="K456" i="9" s="1"/>
  <c r="O361" i="9"/>
  <c r="P308" i="9"/>
  <c r="L222" i="9"/>
  <c r="O222" i="9" s="1"/>
  <c r="P191" i="9"/>
  <c r="S157" i="9"/>
  <c r="N141" i="9"/>
  <c r="N139" i="9" s="1"/>
  <c r="Q120" i="9"/>
  <c r="P80" i="9"/>
  <c r="R72" i="9"/>
  <c r="Q763" i="10"/>
  <c r="T763" i="10" s="1"/>
  <c r="K703" i="10"/>
  <c r="R693" i="10"/>
  <c r="U693" i="10" s="1"/>
  <c r="T691" i="10"/>
  <c r="R645" i="10"/>
  <c r="U645" i="10" s="1"/>
  <c r="P644" i="10"/>
  <c r="T617" i="10"/>
  <c r="M616" i="10"/>
  <c r="P616" i="10" s="1"/>
  <c r="O600" i="10"/>
  <c r="Q599" i="10"/>
  <c r="T599" i="10" s="1"/>
  <c r="R576" i="10"/>
  <c r="U576" i="10" s="1"/>
  <c r="P518" i="10"/>
  <c r="M516" i="10"/>
  <c r="P516" i="10" s="1"/>
  <c r="S513" i="10"/>
  <c r="M493" i="10"/>
  <c r="P493" i="10" s="1"/>
  <c r="P494" i="10"/>
  <c r="L392" i="10"/>
  <c r="O392" i="10" s="1"/>
  <c r="O393" i="10"/>
  <c r="L254" i="10"/>
  <c r="O254" i="10" s="1"/>
  <c r="L234" i="10"/>
  <c r="P67" i="10"/>
  <c r="M65" i="10"/>
  <c r="P65" i="10" s="1"/>
  <c r="U765" i="8"/>
  <c r="U733" i="8"/>
  <c r="U647" i="8"/>
  <c r="S97" i="8"/>
  <c r="U765" i="9"/>
  <c r="U733" i="9"/>
  <c r="K709" i="9"/>
  <c r="S644" i="9"/>
  <c r="S642" i="9" s="1"/>
  <c r="T380" i="9"/>
  <c r="Q377" i="9"/>
  <c r="L323" i="9"/>
  <c r="O323" i="9" s="1"/>
  <c r="Q269" i="9"/>
  <c r="L235" i="9"/>
  <c r="K229" i="9"/>
  <c r="K209" i="9"/>
  <c r="L203" i="9"/>
  <c r="O203" i="9" s="1"/>
  <c r="Q142" i="9"/>
  <c r="T142" i="9" s="1"/>
  <c r="L534" i="10"/>
  <c r="O534" i="10" s="1"/>
  <c r="O535" i="10"/>
  <c r="P125" i="10"/>
  <c r="M123" i="10"/>
  <c r="P123" i="10" s="1"/>
  <c r="K784" i="7"/>
  <c r="K778" i="7"/>
  <c r="T178" i="7"/>
  <c r="T178" i="8"/>
  <c r="L100" i="8"/>
  <c r="O100" i="8" s="1"/>
  <c r="M519" i="9"/>
  <c r="P519" i="9" s="1"/>
  <c r="O290" i="9"/>
  <c r="O162" i="9"/>
  <c r="S762" i="10"/>
  <c r="T762" i="10" s="1"/>
  <c r="U733" i="10"/>
  <c r="R730" i="10"/>
  <c r="P729" i="10"/>
  <c r="P715" i="10"/>
  <c r="T621" i="10"/>
  <c r="O617" i="10"/>
  <c r="M599" i="10"/>
  <c r="P599" i="10" s="1"/>
  <c r="N576" i="10"/>
  <c r="L555" i="10"/>
  <c r="O555" i="10" s="1"/>
  <c r="Q513" i="10"/>
  <c r="T513" i="10" s="1"/>
  <c r="T514" i="10"/>
  <c r="R392" i="10"/>
  <c r="U392" i="10" s="1"/>
  <c r="U393" i="10"/>
  <c r="T358" i="10"/>
  <c r="Q356" i="10"/>
  <c r="T356" i="10" s="1"/>
  <c r="P338" i="10"/>
  <c r="M336" i="10"/>
  <c r="P336" i="10" s="1"/>
  <c r="M335" i="10"/>
  <c r="Q320" i="10"/>
  <c r="T320" i="10" s="1"/>
  <c r="T321" i="10"/>
  <c r="P178" i="10"/>
  <c r="M176" i="10"/>
  <c r="P176" i="10" s="1"/>
  <c r="M175" i="10"/>
  <c r="K314" i="8"/>
  <c r="K154" i="8"/>
  <c r="S730" i="9"/>
  <c r="S728" i="9" s="1"/>
  <c r="J701" i="9"/>
  <c r="K626" i="9"/>
  <c r="R415" i="9"/>
  <c r="U415" i="9" s="1"/>
  <c r="O306" i="9"/>
  <c r="P274" i="9"/>
  <c r="U765" i="10"/>
  <c r="L642" i="10"/>
  <c r="O642" i="10" s="1"/>
  <c r="K626" i="10"/>
  <c r="K630" i="10"/>
  <c r="K631" i="10"/>
  <c r="U617" i="10"/>
  <c r="M576" i="10"/>
  <c r="P576" i="10" s="1"/>
  <c r="Q555" i="10"/>
  <c r="T555" i="10" s="1"/>
  <c r="R534" i="10"/>
  <c r="U534" i="10" s="1"/>
  <c r="U535" i="10"/>
  <c r="M375" i="10"/>
  <c r="P375" i="10" s="1"/>
  <c r="P376" i="10"/>
  <c r="O304" i="10"/>
  <c r="P287" i="10"/>
  <c r="M285" i="10"/>
  <c r="P285" i="10" s="1"/>
  <c r="M284" i="10"/>
  <c r="P284" i="10" s="1"/>
  <c r="L268" i="10"/>
  <c r="O268" i="10" s="1"/>
  <c r="P187" i="10"/>
  <c r="S375" i="9"/>
  <c r="J351" i="7"/>
  <c r="T731" i="9"/>
  <c r="K629" i="9"/>
  <c r="P287" i="9"/>
  <c r="N188" i="9"/>
  <c r="N186" i="9" s="1"/>
  <c r="S160" i="9"/>
  <c r="N75" i="9"/>
  <c r="P75" i="9" s="1"/>
  <c r="N61" i="9"/>
  <c r="N59" i="9" s="1"/>
  <c r="P49" i="9"/>
  <c r="N47" i="9"/>
  <c r="P47" i="9" s="1"/>
  <c r="T765" i="10"/>
  <c r="U695" i="10"/>
  <c r="U647" i="10"/>
  <c r="R496" i="10"/>
  <c r="U496" i="10" s="1"/>
  <c r="R495" i="10"/>
  <c r="U498" i="10"/>
  <c r="N392" i="10"/>
  <c r="T556" i="10"/>
  <c r="N516" i="10"/>
  <c r="P514" i="10"/>
  <c r="J503" i="10"/>
  <c r="J492" i="10" s="1"/>
  <c r="T414" i="10"/>
  <c r="T380" i="10"/>
  <c r="L375" i="10"/>
  <c r="O375" i="10" s="1"/>
  <c r="O338" i="10"/>
  <c r="L336" i="10"/>
  <c r="O336" i="10" s="1"/>
  <c r="N322" i="10"/>
  <c r="N320" i="10" s="1"/>
  <c r="I302" i="10"/>
  <c r="K302" i="10" s="1"/>
  <c r="U271" i="10"/>
  <c r="R269" i="10"/>
  <c r="R186" i="10"/>
  <c r="U186" i="10" s="1"/>
  <c r="U188" i="10"/>
  <c r="S186" i="10"/>
  <c r="P535" i="10"/>
  <c r="U514" i="10"/>
  <c r="O514" i="10"/>
  <c r="S495" i="10"/>
  <c r="S493" i="10" s="1"/>
  <c r="P393" i="10"/>
  <c r="J374" i="10"/>
  <c r="P364" i="10"/>
  <c r="M362" i="10"/>
  <c r="P362" i="10" s="1"/>
  <c r="N358" i="10"/>
  <c r="L335" i="10"/>
  <c r="O335" i="10" s="1"/>
  <c r="P311" i="10"/>
  <c r="M309" i="10"/>
  <c r="P309" i="10" s="1"/>
  <c r="U304" i="10"/>
  <c r="S266" i="10"/>
  <c r="Q186" i="10"/>
  <c r="T186" i="10" s="1"/>
  <c r="T188" i="10"/>
  <c r="P181" i="10"/>
  <c r="M179" i="10"/>
  <c r="P179" i="10" s="1"/>
  <c r="K371" i="10"/>
  <c r="O364" i="10"/>
  <c r="L362" i="10"/>
  <c r="O362" i="10" s="1"/>
  <c r="J343" i="10"/>
  <c r="O334" i="10"/>
  <c r="J332" i="10"/>
  <c r="O325" i="10"/>
  <c r="L323" i="10"/>
  <c r="O323" i="10" s="1"/>
  <c r="P308" i="10"/>
  <c r="M306" i="10"/>
  <c r="P306" i="10" s="1"/>
  <c r="R266" i="10"/>
  <c r="I242" i="10"/>
  <c r="K249" i="10"/>
  <c r="I238" i="10"/>
  <c r="K238" i="10" s="1"/>
  <c r="L358" i="10"/>
  <c r="R333" i="10"/>
  <c r="U333" i="10" s="1"/>
  <c r="U334" i="10"/>
  <c r="K332" i="10"/>
  <c r="P283" i="10"/>
  <c r="P52" i="10"/>
  <c r="M26" i="10"/>
  <c r="P26" i="10" s="1"/>
  <c r="M50" i="10"/>
  <c r="P50" i="10" s="1"/>
  <c r="Q333" i="10"/>
  <c r="T333" i="10" s="1"/>
  <c r="T334" i="10"/>
  <c r="U322" i="10"/>
  <c r="R320" i="10"/>
  <c r="U320" i="10" s="1"/>
  <c r="P304" i="10"/>
  <c r="O271" i="10"/>
  <c r="L269" i="10"/>
  <c r="O269" i="10" s="1"/>
  <c r="T119" i="10"/>
  <c r="U19" i="10"/>
  <c r="R305" i="10"/>
  <c r="U305" i="10" s="1"/>
  <c r="L305" i="10"/>
  <c r="O305" i="10" s="1"/>
  <c r="N285" i="10"/>
  <c r="L284" i="10"/>
  <c r="O284" i="10" s="1"/>
  <c r="M272" i="10"/>
  <c r="P272" i="10" s="1"/>
  <c r="S269" i="10"/>
  <c r="T269" i="10" s="1"/>
  <c r="M269" i="10"/>
  <c r="P269" i="10" s="1"/>
  <c r="Q268" i="10"/>
  <c r="T268" i="10" s="1"/>
  <c r="U267" i="10"/>
  <c r="O267" i="10"/>
  <c r="U191" i="10"/>
  <c r="O191" i="10"/>
  <c r="Q189" i="10"/>
  <c r="T189" i="10" s="1"/>
  <c r="K183" i="10"/>
  <c r="O181" i="10"/>
  <c r="L179" i="10"/>
  <c r="O179" i="10" s="1"/>
  <c r="L175" i="10"/>
  <c r="O175" i="10" s="1"/>
  <c r="T162" i="10"/>
  <c r="Q160" i="10"/>
  <c r="T160" i="10" s="1"/>
  <c r="Q157" i="10"/>
  <c r="T157" i="10" s="1"/>
  <c r="T158" i="10"/>
  <c r="K154" i="10"/>
  <c r="I136" i="10"/>
  <c r="K136" i="10" s="1"/>
  <c r="U119" i="10"/>
  <c r="L26" i="10"/>
  <c r="U283" i="10"/>
  <c r="O283" i="10"/>
  <c r="P271" i="10"/>
  <c r="T267" i="10"/>
  <c r="L243" i="10"/>
  <c r="T191" i="10"/>
  <c r="I116" i="10"/>
  <c r="K116" i="10" s="1"/>
  <c r="K127" i="10"/>
  <c r="T122" i="10"/>
  <c r="Q120" i="10"/>
  <c r="M188" i="10"/>
  <c r="R173" i="10"/>
  <c r="U173" i="10" s="1"/>
  <c r="M159" i="10"/>
  <c r="I137" i="10"/>
  <c r="K137" i="10" s="1"/>
  <c r="K152" i="10"/>
  <c r="T99" i="10"/>
  <c r="Q97" i="10"/>
  <c r="T97" i="10" s="1"/>
  <c r="P25" i="10"/>
  <c r="T178" i="10"/>
  <c r="Q176" i="10"/>
  <c r="T176" i="10" s="1"/>
  <c r="T174" i="10"/>
  <c r="M163" i="10"/>
  <c r="P163" i="10" s="1"/>
  <c r="M119" i="10"/>
  <c r="Q117" i="10"/>
  <c r="T117" i="10" s="1"/>
  <c r="P22" i="10"/>
  <c r="M19" i="10"/>
  <c r="Q175" i="10"/>
  <c r="T175" i="10" s="1"/>
  <c r="Q94" i="10"/>
  <c r="T94" i="10" s="1"/>
  <c r="Q72" i="10"/>
  <c r="T72" i="10" s="1"/>
  <c r="N26" i="10"/>
  <c r="N24" i="10" s="1"/>
  <c r="O19" i="10"/>
  <c r="R176" i="10"/>
  <c r="U176" i="10" s="1"/>
  <c r="L176" i="10"/>
  <c r="O176" i="10" s="1"/>
  <c r="L163" i="10"/>
  <c r="O163" i="10" s="1"/>
  <c r="R160" i="10"/>
  <c r="U160" i="10" s="1"/>
  <c r="L160" i="10"/>
  <c r="O160" i="10" s="1"/>
  <c r="K153" i="10"/>
  <c r="L123" i="10"/>
  <c r="O123" i="10" s="1"/>
  <c r="P122" i="10"/>
  <c r="R120" i="10"/>
  <c r="L120" i="10"/>
  <c r="O120" i="10" s="1"/>
  <c r="T118" i="10"/>
  <c r="L100" i="10"/>
  <c r="O100" i="10" s="1"/>
  <c r="P99" i="10"/>
  <c r="R97" i="10"/>
  <c r="U97" i="10" s="1"/>
  <c r="L97" i="10"/>
  <c r="O97" i="10" s="1"/>
  <c r="T95" i="10"/>
  <c r="I92" i="10"/>
  <c r="K92" i="10" s="1"/>
  <c r="U77" i="10"/>
  <c r="O77" i="10"/>
  <c r="Q75" i="10"/>
  <c r="T75" i="10" s="1"/>
  <c r="O64" i="10"/>
  <c r="N50" i="10"/>
  <c r="O49" i="10"/>
  <c r="N23" i="10"/>
  <c r="U178" i="10"/>
  <c r="O178" i="10"/>
  <c r="U162" i="10"/>
  <c r="O162" i="10"/>
  <c r="U122" i="10"/>
  <c r="O122" i="10"/>
  <c r="U99" i="10"/>
  <c r="O99" i="10"/>
  <c r="K84" i="10"/>
  <c r="T77" i="10"/>
  <c r="S23" i="10"/>
  <c r="S20" i="10" s="1"/>
  <c r="S18" i="10" s="1"/>
  <c r="M23" i="10"/>
  <c r="N175" i="10"/>
  <c r="N173" i="10" s="1"/>
  <c r="N159" i="10"/>
  <c r="N157" i="10" s="1"/>
  <c r="R141" i="10"/>
  <c r="L141" i="10"/>
  <c r="N119" i="10"/>
  <c r="N117" i="10" s="1"/>
  <c r="N96" i="10"/>
  <c r="N94" i="10" s="1"/>
  <c r="S74" i="10"/>
  <c r="S72" i="10" s="1"/>
  <c r="M74" i="10"/>
  <c r="M61" i="10"/>
  <c r="M46" i="10"/>
  <c r="R23" i="10"/>
  <c r="L23" i="10"/>
  <c r="Q23" i="10"/>
  <c r="Q416" i="9"/>
  <c r="T416" i="9" s="1"/>
  <c r="T418" i="9"/>
  <c r="U730" i="7"/>
  <c r="M179" i="7"/>
  <c r="P179" i="7" s="1"/>
  <c r="K108" i="8"/>
  <c r="K758" i="9"/>
  <c r="S763" i="9"/>
  <c r="U763" i="9" s="1"/>
  <c r="S762" i="9"/>
  <c r="S760" i="9" s="1"/>
  <c r="T733" i="9"/>
  <c r="J675" i="9"/>
  <c r="Q159" i="9"/>
  <c r="Q157" i="9" s="1"/>
  <c r="T157" i="9" s="1"/>
  <c r="Q160" i="9"/>
  <c r="T160" i="9" s="1"/>
  <c r="L120" i="9"/>
  <c r="O120" i="9" s="1"/>
  <c r="O122" i="9"/>
  <c r="K85" i="9"/>
  <c r="I83" i="9"/>
  <c r="I71" i="9" s="1"/>
  <c r="K71" i="9" s="1"/>
  <c r="Q24" i="9"/>
  <c r="T24" i="9" s="1"/>
  <c r="T25" i="9"/>
  <c r="U269" i="7"/>
  <c r="N188" i="7"/>
  <c r="N186" i="7" s="1"/>
  <c r="S555" i="9"/>
  <c r="R714" i="9"/>
  <c r="U714" i="9" s="1"/>
  <c r="U715" i="9"/>
  <c r="M555" i="9"/>
  <c r="P555" i="9" s="1"/>
  <c r="P557" i="9"/>
  <c r="O308" i="8"/>
  <c r="T122" i="8"/>
  <c r="M96" i="8"/>
  <c r="M94" i="8" s="1"/>
  <c r="P94" i="8" s="1"/>
  <c r="L728" i="9"/>
  <c r="O728" i="9" s="1"/>
  <c r="O729" i="9"/>
  <c r="O691" i="9"/>
  <c r="L690" i="9"/>
  <c r="O690" i="9" s="1"/>
  <c r="R269" i="9"/>
  <c r="U271" i="9"/>
  <c r="R120" i="9"/>
  <c r="U122" i="9"/>
  <c r="Q74" i="9"/>
  <c r="Q72" i="9" s="1"/>
  <c r="Q75" i="9"/>
  <c r="T75" i="9" s="1"/>
  <c r="K785" i="8"/>
  <c r="K782" i="8"/>
  <c r="I689" i="8"/>
  <c r="K689" i="8" s="1"/>
  <c r="L222" i="8"/>
  <c r="O222" i="8" s="1"/>
  <c r="O64" i="8"/>
  <c r="R762" i="9"/>
  <c r="Q730" i="9"/>
  <c r="Q728" i="9" s="1"/>
  <c r="M714" i="9"/>
  <c r="P714" i="9" s="1"/>
  <c r="P715" i="9"/>
  <c r="P178" i="9"/>
  <c r="M176" i="9"/>
  <c r="P176" i="9" s="1"/>
  <c r="L235" i="7"/>
  <c r="O144" i="7"/>
  <c r="K784" i="8"/>
  <c r="O521" i="8"/>
  <c r="K369" i="8"/>
  <c r="K229" i="8"/>
  <c r="I759" i="9"/>
  <c r="K759" i="9" s="1"/>
  <c r="L714" i="9"/>
  <c r="O714" i="9" s="1"/>
  <c r="R282" i="9"/>
  <c r="U282" i="9" s="1"/>
  <c r="U284" i="9"/>
  <c r="Q173" i="9"/>
  <c r="T173" i="9" s="1"/>
  <c r="M728" i="9"/>
  <c r="P728" i="9" s="1"/>
  <c r="Q714" i="9"/>
  <c r="T714" i="9" s="1"/>
  <c r="N690" i="9"/>
  <c r="J674" i="9"/>
  <c r="L642" i="9"/>
  <c r="O642" i="9" s="1"/>
  <c r="K631" i="9"/>
  <c r="M576" i="9"/>
  <c r="P576" i="9" s="1"/>
  <c r="R392" i="9"/>
  <c r="U392" i="9" s="1"/>
  <c r="M392" i="9"/>
  <c r="P392" i="9" s="1"/>
  <c r="P364" i="9"/>
  <c r="K346" i="9"/>
  <c r="N305" i="9"/>
  <c r="S303" i="9"/>
  <c r="U303" i="9" s="1"/>
  <c r="T268" i="9"/>
  <c r="L243" i="9"/>
  <c r="O243" i="9" s="1"/>
  <c r="Q176" i="9"/>
  <c r="T176" i="9" s="1"/>
  <c r="N142" i="9"/>
  <c r="I138" i="9"/>
  <c r="K138" i="9" s="1"/>
  <c r="Q117" i="9"/>
  <c r="P99" i="9"/>
  <c r="L75" i="9"/>
  <c r="P64" i="9"/>
  <c r="N62" i="9"/>
  <c r="O62" i="9" s="1"/>
  <c r="M760" i="9"/>
  <c r="P760" i="9" s="1"/>
  <c r="R599" i="9"/>
  <c r="U599" i="9" s="1"/>
  <c r="L599" i="9"/>
  <c r="O599" i="9" s="1"/>
  <c r="O577" i="9"/>
  <c r="Q555" i="9"/>
  <c r="T555" i="9" s="1"/>
  <c r="O521" i="9"/>
  <c r="M515" i="9"/>
  <c r="P515" i="9" s="1"/>
  <c r="K503" i="9"/>
  <c r="Q496" i="9"/>
  <c r="T496" i="9" s="1"/>
  <c r="U418" i="9"/>
  <c r="N413" i="9"/>
  <c r="L413" i="9"/>
  <c r="O413" i="9" s="1"/>
  <c r="N392" i="9"/>
  <c r="K385" i="9"/>
  <c r="M375" i="9"/>
  <c r="P375" i="9" s="1"/>
  <c r="K368" i="9"/>
  <c r="N358" i="9"/>
  <c r="N356" i="9" s="1"/>
  <c r="S320" i="9"/>
  <c r="R320" i="9"/>
  <c r="U320" i="9" s="1"/>
  <c r="U308" i="9"/>
  <c r="P306" i="9"/>
  <c r="S306" i="9"/>
  <c r="M284" i="9"/>
  <c r="P284" i="9" s="1"/>
  <c r="K276" i="9"/>
  <c r="O271" i="9"/>
  <c r="S266" i="9"/>
  <c r="P194" i="9"/>
  <c r="M188" i="9"/>
  <c r="S189" i="9"/>
  <c r="T189" i="9" s="1"/>
  <c r="O165" i="9"/>
  <c r="M163" i="9"/>
  <c r="P163" i="9" s="1"/>
  <c r="R141" i="9"/>
  <c r="R139" i="9" s="1"/>
  <c r="U139" i="9" s="1"/>
  <c r="M123" i="9"/>
  <c r="P123" i="9" s="1"/>
  <c r="P122" i="9"/>
  <c r="K109" i="9"/>
  <c r="P102" i="9"/>
  <c r="O80" i="9"/>
  <c r="U73" i="9"/>
  <c r="O64" i="9"/>
  <c r="T60" i="9"/>
  <c r="Q19" i="9"/>
  <c r="T19" i="9" s="1"/>
  <c r="N642" i="9"/>
  <c r="K632" i="9"/>
  <c r="S616" i="9"/>
  <c r="N599" i="9"/>
  <c r="U577" i="9"/>
  <c r="L516" i="9"/>
  <c r="O516" i="9" s="1"/>
  <c r="P494" i="9"/>
  <c r="L322" i="9"/>
  <c r="O322" i="9" s="1"/>
  <c r="N232" i="9"/>
  <c r="I92" i="9"/>
  <c r="K92" i="9" s="1"/>
  <c r="N74" i="9"/>
  <c r="Q763" i="9"/>
  <c r="R730" i="9"/>
  <c r="K726" i="9"/>
  <c r="J702" i="9"/>
  <c r="R693" i="9"/>
  <c r="U693" i="9" s="1"/>
  <c r="U618" i="9"/>
  <c r="P600" i="9"/>
  <c r="L534" i="9"/>
  <c r="O534" i="9" s="1"/>
  <c r="N493" i="9"/>
  <c r="J457" i="9"/>
  <c r="J456" i="9" s="1"/>
  <c r="N322" i="9"/>
  <c r="N320" i="9" s="1"/>
  <c r="Q320" i="9"/>
  <c r="T320" i="9" s="1"/>
  <c r="N284" i="9"/>
  <c r="N282" i="9" s="1"/>
  <c r="T271" i="9"/>
  <c r="M268" i="9"/>
  <c r="M266" i="9" s="1"/>
  <c r="S269" i="9"/>
  <c r="J231" i="9"/>
  <c r="J185" i="9" s="1"/>
  <c r="M179" i="9"/>
  <c r="P179" i="9" s="1"/>
  <c r="O178" i="9"/>
  <c r="K152" i="9"/>
  <c r="T122" i="9"/>
  <c r="S94" i="9"/>
  <c r="U94" i="9" s="1"/>
  <c r="L96" i="9"/>
  <c r="R97" i="9"/>
  <c r="R75" i="9"/>
  <c r="U75" i="9" s="1"/>
  <c r="S24" i="9"/>
  <c r="M19" i="9"/>
  <c r="P19" i="9" s="1"/>
  <c r="R534" i="9"/>
  <c r="U534" i="9" s="1"/>
  <c r="L375" i="9"/>
  <c r="O375" i="9" s="1"/>
  <c r="L305" i="9"/>
  <c r="L303" i="9" s="1"/>
  <c r="L214" i="9"/>
  <c r="O214" i="9" s="1"/>
  <c r="M119" i="9"/>
  <c r="P119" i="9" s="1"/>
  <c r="S120" i="9"/>
  <c r="M97" i="9"/>
  <c r="P97" i="9" s="1"/>
  <c r="L74" i="9"/>
  <c r="L72" i="9" s="1"/>
  <c r="R616" i="9"/>
  <c r="U617" i="9"/>
  <c r="N555" i="9"/>
  <c r="O338" i="9"/>
  <c r="N335" i="9"/>
  <c r="N333" i="9" s="1"/>
  <c r="P338" i="9"/>
  <c r="N336" i="9"/>
  <c r="P336" i="9" s="1"/>
  <c r="K782" i="7"/>
  <c r="M358" i="7"/>
  <c r="M356" i="7" s="1"/>
  <c r="K778" i="8"/>
  <c r="Q730" i="8"/>
  <c r="Q728" i="8" s="1"/>
  <c r="J702" i="8"/>
  <c r="M335" i="8"/>
  <c r="L322" i="8"/>
  <c r="O322" i="8" s="1"/>
  <c r="M288" i="8"/>
  <c r="P288" i="8" s="1"/>
  <c r="P290" i="8"/>
  <c r="M642" i="9"/>
  <c r="P642" i="9" s="1"/>
  <c r="J615" i="9"/>
  <c r="L362" i="9"/>
  <c r="O362" i="9" s="1"/>
  <c r="O364" i="9"/>
  <c r="Q642" i="9"/>
  <c r="T642" i="9" s="1"/>
  <c r="T643" i="9"/>
  <c r="N358" i="7"/>
  <c r="N356" i="7" s="1"/>
  <c r="O495" i="9"/>
  <c r="L493" i="9"/>
  <c r="O493" i="9" s="1"/>
  <c r="S731" i="8"/>
  <c r="T731" i="8" s="1"/>
  <c r="J701" i="8"/>
  <c r="U695" i="8"/>
  <c r="J674" i="8"/>
  <c r="I701" i="9"/>
  <c r="K705" i="9"/>
  <c r="Q690" i="9"/>
  <c r="T691" i="9"/>
  <c r="L555" i="9"/>
  <c r="O555" i="9" s="1"/>
  <c r="O556" i="9"/>
  <c r="L392" i="9"/>
  <c r="O392" i="9" s="1"/>
  <c r="O393" i="9"/>
  <c r="J332" i="9"/>
  <c r="J343" i="9"/>
  <c r="I253" i="9"/>
  <c r="K253" i="9" s="1"/>
  <c r="K260" i="9"/>
  <c r="N163" i="9"/>
  <c r="N26" i="9"/>
  <c r="N24" i="9" s="1"/>
  <c r="U695" i="7"/>
  <c r="I83" i="7"/>
  <c r="K83" i="7" s="1"/>
  <c r="O67" i="7"/>
  <c r="R731" i="8"/>
  <c r="L515" i="8"/>
  <c r="O515" i="8" s="1"/>
  <c r="Q760" i="9"/>
  <c r="R690" i="9"/>
  <c r="Q619" i="9"/>
  <c r="Q618" i="9"/>
  <c r="T621" i="9"/>
  <c r="T394" i="9"/>
  <c r="Q392" i="9"/>
  <c r="T392" i="9" s="1"/>
  <c r="Q690" i="8"/>
  <c r="T690" i="8" s="1"/>
  <c r="Q576" i="9"/>
  <c r="T576" i="9" s="1"/>
  <c r="K783" i="7"/>
  <c r="R377" i="7"/>
  <c r="R375" i="7" s="1"/>
  <c r="U375" i="7" s="1"/>
  <c r="K369" i="7"/>
  <c r="L233" i="7"/>
  <c r="Q378" i="8"/>
  <c r="Q377" i="8"/>
  <c r="T377" i="8" s="1"/>
  <c r="U731" i="9"/>
  <c r="M690" i="9"/>
  <c r="P690" i="9" s="1"/>
  <c r="L616" i="9"/>
  <c r="O616" i="9" s="1"/>
  <c r="O617" i="9"/>
  <c r="R555" i="9"/>
  <c r="U555" i="9" s="1"/>
  <c r="U556" i="9"/>
  <c r="U376" i="9"/>
  <c r="O321" i="9"/>
  <c r="K365" i="8"/>
  <c r="N322" i="8"/>
  <c r="N320" i="8" s="1"/>
  <c r="O287" i="8"/>
  <c r="I281" i="8"/>
  <c r="K281" i="8" s="1"/>
  <c r="O194" i="8"/>
  <c r="U191" i="8"/>
  <c r="P181" i="8"/>
  <c r="R75" i="8"/>
  <c r="U75" i="8" s="1"/>
  <c r="T765" i="9"/>
  <c r="U761" i="9"/>
  <c r="O761" i="9"/>
  <c r="T729" i="9"/>
  <c r="T715" i="9"/>
  <c r="U695" i="9"/>
  <c r="P691" i="9"/>
  <c r="U647" i="9"/>
  <c r="P643" i="9"/>
  <c r="I615" i="9"/>
  <c r="K615" i="9" s="1"/>
  <c r="T600" i="9"/>
  <c r="T577" i="9"/>
  <c r="T514" i="9"/>
  <c r="U498" i="9"/>
  <c r="J458" i="9"/>
  <c r="Q415" i="9"/>
  <c r="K371" i="9"/>
  <c r="J365" i="9"/>
  <c r="K365" i="9" s="1"/>
  <c r="O361" i="8"/>
  <c r="N335" i="8"/>
  <c r="N333" i="8" s="1"/>
  <c r="T305" i="8"/>
  <c r="L214" i="8"/>
  <c r="O214" i="8" s="1"/>
  <c r="K772" i="9"/>
  <c r="T695" i="9"/>
  <c r="T647" i="9"/>
  <c r="U621" i="9"/>
  <c r="P518" i="9"/>
  <c r="S513" i="9"/>
  <c r="S496" i="9"/>
  <c r="S495" i="9"/>
  <c r="S493" i="9" s="1"/>
  <c r="O376" i="9"/>
  <c r="J351" i="9"/>
  <c r="M305" i="9"/>
  <c r="M303" i="9" s="1"/>
  <c r="P311" i="9"/>
  <c r="M309" i="9"/>
  <c r="P309" i="9" s="1"/>
  <c r="Q266" i="9"/>
  <c r="O194" i="9"/>
  <c r="L188" i="9"/>
  <c r="L192" i="9"/>
  <c r="O192" i="9" s="1"/>
  <c r="Q157" i="8"/>
  <c r="T157" i="8" s="1"/>
  <c r="L358" i="9"/>
  <c r="L359" i="9"/>
  <c r="O359" i="9" s="1"/>
  <c r="Q282" i="9"/>
  <c r="T282" i="9" s="1"/>
  <c r="T283" i="9"/>
  <c r="Q534" i="9"/>
  <c r="T534" i="9" s="1"/>
  <c r="R513" i="9"/>
  <c r="U513" i="9" s="1"/>
  <c r="I412" i="9"/>
  <c r="K412" i="9" s="1"/>
  <c r="K423" i="9"/>
  <c r="Q356" i="9"/>
  <c r="T356" i="9" s="1"/>
  <c r="K314" i="9"/>
  <c r="I302" i="9"/>
  <c r="K302" i="9" s="1"/>
  <c r="U305" i="9"/>
  <c r="L145" i="9"/>
  <c r="O145" i="9" s="1"/>
  <c r="O147" i="9"/>
  <c r="S142" i="9"/>
  <c r="S141" i="9"/>
  <c r="S139" i="9" s="1"/>
  <c r="K371" i="8"/>
  <c r="N534" i="9"/>
  <c r="N515" i="9"/>
  <c r="N513" i="9" s="1"/>
  <c r="K504" i="9"/>
  <c r="J503" i="9"/>
  <c r="J492" i="9" s="1"/>
  <c r="Q493" i="9"/>
  <c r="T493" i="9" s="1"/>
  <c r="L339" i="9"/>
  <c r="O339" i="9" s="1"/>
  <c r="L335" i="9"/>
  <c r="Q305" i="9"/>
  <c r="T305" i="9" s="1"/>
  <c r="T308" i="9"/>
  <c r="Q306" i="9"/>
  <c r="L515" i="9"/>
  <c r="M359" i="9"/>
  <c r="P359" i="9" s="1"/>
  <c r="M339" i="9"/>
  <c r="P339" i="9" s="1"/>
  <c r="M335" i="9"/>
  <c r="Q333" i="9"/>
  <c r="T333" i="9" s="1"/>
  <c r="R306" i="9"/>
  <c r="L284" i="9"/>
  <c r="U267" i="9"/>
  <c r="Q188" i="9"/>
  <c r="T191" i="9"/>
  <c r="P189" i="9"/>
  <c r="L179" i="9"/>
  <c r="O179" i="9" s="1"/>
  <c r="O181" i="9"/>
  <c r="U158" i="9"/>
  <c r="P67" i="9"/>
  <c r="M65" i="9"/>
  <c r="P65" i="9" s="1"/>
  <c r="U380" i="9"/>
  <c r="R377" i="9"/>
  <c r="U377" i="9" s="1"/>
  <c r="P361" i="9"/>
  <c r="R356" i="9"/>
  <c r="U356" i="9" s="1"/>
  <c r="K330" i="9"/>
  <c r="P325" i="9"/>
  <c r="L309" i="9"/>
  <c r="O309" i="9" s="1"/>
  <c r="O308" i="9"/>
  <c r="T304" i="9"/>
  <c r="O287" i="9"/>
  <c r="P271" i="9"/>
  <c r="N269" i="9"/>
  <c r="P269" i="9" s="1"/>
  <c r="K154" i="9"/>
  <c r="I136" i="9"/>
  <c r="K136" i="9" s="1"/>
  <c r="I281" i="9"/>
  <c r="K281" i="9" s="1"/>
  <c r="L233" i="9"/>
  <c r="O19" i="9"/>
  <c r="U22" i="9"/>
  <c r="T498" i="9"/>
  <c r="P357" i="9"/>
  <c r="S282" i="9"/>
  <c r="N268" i="9"/>
  <c r="N266" i="9" s="1"/>
  <c r="P267" i="9"/>
  <c r="L254" i="9"/>
  <c r="O254" i="9" s="1"/>
  <c r="P144" i="9"/>
  <c r="M142" i="9"/>
  <c r="M141" i="9"/>
  <c r="S19" i="9"/>
  <c r="I332" i="9"/>
  <c r="K344" i="9"/>
  <c r="L326" i="9"/>
  <c r="O326" i="9" s="1"/>
  <c r="O267" i="9"/>
  <c r="I238" i="9"/>
  <c r="K238" i="9" s="1"/>
  <c r="I213" i="9"/>
  <c r="K213" i="9" s="1"/>
  <c r="K220" i="9"/>
  <c r="O189" i="9"/>
  <c r="N160" i="9"/>
  <c r="N23" i="9"/>
  <c r="N159" i="9"/>
  <c r="N157" i="9" s="1"/>
  <c r="O158" i="9"/>
  <c r="L142" i="9"/>
  <c r="L141" i="9"/>
  <c r="O144" i="9"/>
  <c r="N120" i="9"/>
  <c r="N119" i="9"/>
  <c r="N117" i="9" s="1"/>
  <c r="P60" i="9"/>
  <c r="R24" i="9"/>
  <c r="U24" i="9" s="1"/>
  <c r="U25" i="9"/>
  <c r="R19" i="9"/>
  <c r="K249" i="9"/>
  <c r="I242" i="9"/>
  <c r="U191" i="9"/>
  <c r="O191" i="9"/>
  <c r="U187" i="9"/>
  <c r="N175" i="9"/>
  <c r="N173" i="9" s="1"/>
  <c r="T162" i="9"/>
  <c r="T140" i="9"/>
  <c r="P118" i="9"/>
  <c r="U96" i="9"/>
  <c r="O67" i="9"/>
  <c r="L65" i="9"/>
  <c r="O65" i="9" s="1"/>
  <c r="L61" i="9"/>
  <c r="R268" i="9"/>
  <c r="U268" i="9" s="1"/>
  <c r="L268" i="9"/>
  <c r="O268" i="9" s="1"/>
  <c r="O118" i="9"/>
  <c r="T99" i="9"/>
  <c r="Q97" i="9"/>
  <c r="I82" i="9"/>
  <c r="P73" i="9"/>
  <c r="P52" i="9"/>
  <c r="M26" i="9"/>
  <c r="P26" i="9" s="1"/>
  <c r="M50" i="9"/>
  <c r="P50" i="9" s="1"/>
  <c r="P45" i="9"/>
  <c r="P25" i="9"/>
  <c r="S117" i="9"/>
  <c r="Q96" i="9"/>
  <c r="T96" i="9" s="1"/>
  <c r="O52" i="9"/>
  <c r="L26" i="9"/>
  <c r="O26" i="9" s="1"/>
  <c r="L50" i="9"/>
  <c r="O50" i="9" s="1"/>
  <c r="L46" i="9"/>
  <c r="O25" i="9"/>
  <c r="P22" i="9"/>
  <c r="K169" i="9"/>
  <c r="I156" i="9"/>
  <c r="K156" i="9" s="1"/>
  <c r="P147" i="9"/>
  <c r="M145" i="9"/>
  <c r="P145" i="9" s="1"/>
  <c r="U118" i="9"/>
  <c r="O22" i="9"/>
  <c r="M175" i="9"/>
  <c r="P175" i="9" s="1"/>
  <c r="M159" i="9"/>
  <c r="Q141" i="9"/>
  <c r="T141" i="9" s="1"/>
  <c r="U99" i="9"/>
  <c r="O99" i="9"/>
  <c r="K84" i="9"/>
  <c r="T77" i="9"/>
  <c r="S23" i="9"/>
  <c r="S20" i="9" s="1"/>
  <c r="M23" i="9"/>
  <c r="R175" i="9"/>
  <c r="U175" i="9" s="1"/>
  <c r="L175" i="9"/>
  <c r="O175" i="9" s="1"/>
  <c r="R159" i="9"/>
  <c r="U159" i="9" s="1"/>
  <c r="L159" i="9"/>
  <c r="O159" i="9" s="1"/>
  <c r="R119" i="9"/>
  <c r="U119" i="9" s="1"/>
  <c r="L119" i="9"/>
  <c r="O119" i="9" s="1"/>
  <c r="N96" i="9"/>
  <c r="N94" i="9" s="1"/>
  <c r="S74" i="9"/>
  <c r="U74" i="9" s="1"/>
  <c r="M74" i="9"/>
  <c r="M61" i="9"/>
  <c r="M46" i="9"/>
  <c r="R23" i="9"/>
  <c r="L23" i="9"/>
  <c r="L21" i="9" s="1"/>
  <c r="Q23" i="9"/>
  <c r="R728" i="8"/>
  <c r="K774" i="7"/>
  <c r="L515" i="7"/>
  <c r="O515" i="7" s="1"/>
  <c r="M268" i="7"/>
  <c r="M266" i="7" s="1"/>
  <c r="L203" i="7"/>
  <c r="O203" i="7" s="1"/>
  <c r="K779" i="8"/>
  <c r="T733" i="8"/>
  <c r="M616" i="8"/>
  <c r="P616" i="8" s="1"/>
  <c r="T418" i="8"/>
  <c r="L413" i="8"/>
  <c r="O413" i="8" s="1"/>
  <c r="K344" i="8"/>
  <c r="M322" i="8"/>
  <c r="L288" i="8"/>
  <c r="O288" i="8" s="1"/>
  <c r="L235" i="8"/>
  <c r="T191" i="8"/>
  <c r="O181" i="8"/>
  <c r="M175" i="8"/>
  <c r="M173" i="8" s="1"/>
  <c r="S176" i="8"/>
  <c r="Q160" i="8"/>
  <c r="T160" i="8" s="1"/>
  <c r="M119" i="8"/>
  <c r="P119" i="8" s="1"/>
  <c r="S120" i="8"/>
  <c r="U120" i="8" s="1"/>
  <c r="S117" i="8"/>
  <c r="S94" i="8"/>
  <c r="L96" i="8"/>
  <c r="O96" i="8" s="1"/>
  <c r="R97" i="8"/>
  <c r="L74" i="8"/>
  <c r="O74" i="8" s="1"/>
  <c r="Q75" i="8"/>
  <c r="T75" i="8" s="1"/>
  <c r="P64" i="8"/>
  <c r="N46" i="8"/>
  <c r="N44" i="8" s="1"/>
  <c r="S44" i="8"/>
  <c r="L519" i="7"/>
  <c r="O519" i="7" s="1"/>
  <c r="L362" i="7"/>
  <c r="O362" i="7" s="1"/>
  <c r="L305" i="7"/>
  <c r="O305" i="7" s="1"/>
  <c r="Q120" i="7"/>
  <c r="T120" i="7" s="1"/>
  <c r="P77" i="7"/>
  <c r="K781" i="8"/>
  <c r="K774" i="8"/>
  <c r="S762" i="8"/>
  <c r="S760" i="8" s="1"/>
  <c r="K726" i="8"/>
  <c r="Q714" i="8"/>
  <c r="T714" i="8" s="1"/>
  <c r="I701" i="8"/>
  <c r="K701" i="8" s="1"/>
  <c r="M642" i="8"/>
  <c r="P642" i="8" s="1"/>
  <c r="K615" i="8"/>
  <c r="J374" i="8"/>
  <c r="M375" i="8"/>
  <c r="P375" i="8" s="1"/>
  <c r="Q356" i="8"/>
  <c r="T356" i="8" s="1"/>
  <c r="N336" i="8"/>
  <c r="O336" i="8" s="1"/>
  <c r="N268" i="8"/>
  <c r="N266" i="8" s="1"/>
  <c r="I265" i="8"/>
  <c r="K265" i="8" s="1"/>
  <c r="L233" i="8"/>
  <c r="L188" i="8"/>
  <c r="L186" i="8" s="1"/>
  <c r="K183" i="8"/>
  <c r="Q176" i="8"/>
  <c r="T176" i="8" s="1"/>
  <c r="Q120" i="8"/>
  <c r="M97" i="8"/>
  <c r="P97" i="8" s="1"/>
  <c r="O62" i="8"/>
  <c r="R44" i="8"/>
  <c r="U44" i="8" s="1"/>
  <c r="Q19" i="8"/>
  <c r="T19" i="8" s="1"/>
  <c r="M188" i="8"/>
  <c r="K346" i="7"/>
  <c r="O274" i="7"/>
  <c r="R141" i="7"/>
  <c r="U141" i="7" s="1"/>
  <c r="L119" i="7"/>
  <c r="O119" i="7" s="1"/>
  <c r="S763" i="8"/>
  <c r="U763" i="8" s="1"/>
  <c r="R762" i="8"/>
  <c r="R760" i="8" s="1"/>
  <c r="P729" i="8"/>
  <c r="P715" i="8"/>
  <c r="M690" i="8"/>
  <c r="P690" i="8" s="1"/>
  <c r="J675" i="8"/>
  <c r="L642" i="8"/>
  <c r="O642" i="8" s="1"/>
  <c r="K629" i="8"/>
  <c r="R619" i="8"/>
  <c r="U619" i="8" s="1"/>
  <c r="S618" i="8"/>
  <c r="S616" i="8" s="1"/>
  <c r="L616" i="8"/>
  <c r="O616" i="8" s="1"/>
  <c r="S496" i="8"/>
  <c r="Q415" i="8"/>
  <c r="N413" i="8"/>
  <c r="I374" i="8"/>
  <c r="S378" i="8"/>
  <c r="R377" i="8"/>
  <c r="U377" i="8" s="1"/>
  <c r="O376" i="8"/>
  <c r="M336" i="8"/>
  <c r="P328" i="8"/>
  <c r="L326" i="8"/>
  <c r="O326" i="8" s="1"/>
  <c r="T308" i="8"/>
  <c r="Q306" i="8"/>
  <c r="Q269" i="8"/>
  <c r="M176" i="8"/>
  <c r="S141" i="8"/>
  <c r="S139" i="8" s="1"/>
  <c r="I137" i="8"/>
  <c r="K137" i="8" s="1"/>
  <c r="P125" i="8"/>
  <c r="L97" i="8"/>
  <c r="O97" i="8" s="1"/>
  <c r="I93" i="8"/>
  <c r="K93" i="8" s="1"/>
  <c r="I83" i="8"/>
  <c r="K83" i="8" s="1"/>
  <c r="P80" i="8"/>
  <c r="P77" i="8"/>
  <c r="L75" i="8"/>
  <c r="O75" i="8" s="1"/>
  <c r="N61" i="8"/>
  <c r="N59" i="8" s="1"/>
  <c r="T25" i="8"/>
  <c r="N19" i="8"/>
  <c r="T765" i="7"/>
  <c r="R693" i="7"/>
  <c r="U693" i="7" s="1"/>
  <c r="K457" i="7"/>
  <c r="L288" i="7"/>
  <c r="O288" i="7" s="1"/>
  <c r="L236" i="7"/>
  <c r="L141" i="7"/>
  <c r="L139" i="7" s="1"/>
  <c r="O139" i="7" s="1"/>
  <c r="O125" i="7"/>
  <c r="P80" i="7"/>
  <c r="Q762" i="8"/>
  <c r="Q760" i="8" s="1"/>
  <c r="L690" i="8"/>
  <c r="O690" i="8" s="1"/>
  <c r="Q645" i="8"/>
  <c r="T645" i="8" s="1"/>
  <c r="S644" i="8"/>
  <c r="S642" i="8" s="1"/>
  <c r="R378" i="8"/>
  <c r="U378" i="8" s="1"/>
  <c r="N375" i="8"/>
  <c r="K368" i="8"/>
  <c r="S333" i="8"/>
  <c r="N284" i="8"/>
  <c r="N282" i="8" s="1"/>
  <c r="N269" i="8"/>
  <c r="I238" i="8"/>
  <c r="K238" i="8" s="1"/>
  <c r="M163" i="8"/>
  <c r="P163" i="8" s="1"/>
  <c r="O125" i="8"/>
  <c r="P122" i="8"/>
  <c r="M120" i="8"/>
  <c r="P120" i="8" s="1"/>
  <c r="P99" i="8"/>
  <c r="O80" i="8"/>
  <c r="O77" i="8"/>
  <c r="P62" i="8"/>
  <c r="S24" i="8"/>
  <c r="M19" i="8"/>
  <c r="K780" i="7"/>
  <c r="K276" i="7"/>
  <c r="S160" i="7"/>
  <c r="T765" i="8"/>
  <c r="Q693" i="8"/>
  <c r="T693" i="8" s="1"/>
  <c r="S692" i="8"/>
  <c r="S690" i="8" s="1"/>
  <c r="R644" i="8"/>
  <c r="U644" i="8" s="1"/>
  <c r="N555" i="8"/>
  <c r="M555" i="8"/>
  <c r="P555" i="8" s="1"/>
  <c r="N515" i="8"/>
  <c r="N513" i="8" s="1"/>
  <c r="N516" i="8"/>
  <c r="J458" i="8"/>
  <c r="M362" i="8"/>
  <c r="P362" i="8" s="1"/>
  <c r="L358" i="8"/>
  <c r="L356" i="8" s="1"/>
  <c r="P341" i="8"/>
  <c r="K330" i="8"/>
  <c r="N323" i="8"/>
  <c r="K293" i="8"/>
  <c r="L236" i="8"/>
  <c r="L203" i="8"/>
  <c r="O203" i="8" s="1"/>
  <c r="M192" i="8"/>
  <c r="P192" i="8" s="1"/>
  <c r="N188" i="8"/>
  <c r="N186" i="8" s="1"/>
  <c r="M159" i="8"/>
  <c r="M157" i="8" s="1"/>
  <c r="N141" i="8"/>
  <c r="N139" i="8" s="1"/>
  <c r="K127" i="8"/>
  <c r="U122" i="8"/>
  <c r="O122" i="8"/>
  <c r="N119" i="8"/>
  <c r="N117" i="8" s="1"/>
  <c r="P102" i="8"/>
  <c r="U77" i="8"/>
  <c r="N74" i="8"/>
  <c r="N72" i="8" s="1"/>
  <c r="P49" i="8"/>
  <c r="N47" i="8"/>
  <c r="L19" i="8"/>
  <c r="Q619" i="7"/>
  <c r="T619" i="7" s="1"/>
  <c r="T621" i="7"/>
  <c r="Q618" i="7"/>
  <c r="T619" i="8"/>
  <c r="L760" i="8"/>
  <c r="O760" i="8" s="1"/>
  <c r="R616" i="8"/>
  <c r="I332" i="7"/>
  <c r="K344" i="7"/>
  <c r="I156" i="7"/>
  <c r="K156" i="7" s="1"/>
  <c r="K169" i="7"/>
  <c r="Q642" i="8"/>
  <c r="T642" i="8" s="1"/>
  <c r="Q576" i="8"/>
  <c r="T576" i="8" s="1"/>
  <c r="T577" i="8"/>
  <c r="J503" i="8"/>
  <c r="J492" i="8" s="1"/>
  <c r="O176" i="7"/>
  <c r="Q303" i="8"/>
  <c r="T304" i="8"/>
  <c r="O274" i="8"/>
  <c r="L272" i="8"/>
  <c r="O272" i="8" s="1"/>
  <c r="L268" i="8"/>
  <c r="O268" i="8" s="1"/>
  <c r="U141" i="8"/>
  <c r="R139" i="8"/>
  <c r="U139" i="8" s="1"/>
  <c r="S731" i="7"/>
  <c r="T731" i="7" s="1"/>
  <c r="M322" i="7"/>
  <c r="P322" i="7" s="1"/>
  <c r="L192" i="7"/>
  <c r="O192" i="7" s="1"/>
  <c r="O191" i="7"/>
  <c r="S175" i="7"/>
  <c r="S173" i="7" s="1"/>
  <c r="O162" i="7"/>
  <c r="M100" i="7"/>
  <c r="P100" i="7" s="1"/>
  <c r="M97" i="7"/>
  <c r="P97" i="7" s="1"/>
  <c r="T77" i="7"/>
  <c r="N61" i="7"/>
  <c r="N59" i="7" s="1"/>
  <c r="K772" i="8"/>
  <c r="T761" i="8"/>
  <c r="T695" i="8"/>
  <c r="U691" i="8"/>
  <c r="O691" i="8"/>
  <c r="T647" i="8"/>
  <c r="U643" i="8"/>
  <c r="O643" i="8"/>
  <c r="K632" i="8"/>
  <c r="U621" i="8"/>
  <c r="P617" i="8"/>
  <c r="M599" i="8"/>
  <c r="P599" i="8" s="1"/>
  <c r="P578" i="8"/>
  <c r="M576" i="8"/>
  <c r="P576" i="8" s="1"/>
  <c r="R534" i="8"/>
  <c r="U534" i="8" s="1"/>
  <c r="U535" i="8"/>
  <c r="K457" i="8"/>
  <c r="P394" i="8"/>
  <c r="M392" i="8"/>
  <c r="P392" i="8" s="1"/>
  <c r="P361" i="8"/>
  <c r="N359" i="8"/>
  <c r="P359" i="8" s="1"/>
  <c r="N358" i="8"/>
  <c r="P357" i="8"/>
  <c r="N26" i="8"/>
  <c r="N24" i="8" s="1"/>
  <c r="L160" i="8"/>
  <c r="O160" i="8" s="1"/>
  <c r="L159" i="8"/>
  <c r="O159" i="8" s="1"/>
  <c r="O162" i="8"/>
  <c r="U494" i="8"/>
  <c r="T271" i="8"/>
  <c r="S269" i="8"/>
  <c r="S268" i="8"/>
  <c r="S266" i="8" s="1"/>
  <c r="S119" i="7"/>
  <c r="U119" i="7" s="1"/>
  <c r="L534" i="8"/>
  <c r="O534" i="8" s="1"/>
  <c r="O535" i="8"/>
  <c r="O518" i="8"/>
  <c r="L516" i="8"/>
  <c r="O516" i="8" s="1"/>
  <c r="U271" i="8"/>
  <c r="R269" i="8"/>
  <c r="R268" i="8"/>
  <c r="K781" i="7"/>
  <c r="R495" i="7"/>
  <c r="U495" i="7" s="1"/>
  <c r="K229" i="7"/>
  <c r="Q175" i="7"/>
  <c r="Q173" i="7" s="1"/>
  <c r="T173" i="7" s="1"/>
  <c r="U99" i="7"/>
  <c r="S94" i="7"/>
  <c r="K85" i="7"/>
  <c r="P62" i="7"/>
  <c r="T691" i="8"/>
  <c r="T643" i="8"/>
  <c r="T621" i="8"/>
  <c r="Q618" i="8"/>
  <c r="U617" i="8"/>
  <c r="S599" i="8"/>
  <c r="L599" i="8"/>
  <c r="O599" i="8" s="1"/>
  <c r="O600" i="8"/>
  <c r="Q534" i="8"/>
  <c r="T534" i="8" s="1"/>
  <c r="T535" i="8"/>
  <c r="U515" i="8"/>
  <c r="R513" i="8"/>
  <c r="U513" i="8" s="1"/>
  <c r="M493" i="8"/>
  <c r="P493" i="8" s="1"/>
  <c r="P494" i="8"/>
  <c r="M413" i="8"/>
  <c r="P413" i="8" s="1"/>
  <c r="P414" i="8"/>
  <c r="T380" i="8"/>
  <c r="O357" i="8"/>
  <c r="R176" i="8"/>
  <c r="U176" i="8" s="1"/>
  <c r="U178" i="8"/>
  <c r="T175" i="8"/>
  <c r="P67" i="8"/>
  <c r="M65" i="8"/>
  <c r="P65" i="8" s="1"/>
  <c r="R496" i="8"/>
  <c r="U496" i="8" s="1"/>
  <c r="R495" i="8"/>
  <c r="U495" i="8" s="1"/>
  <c r="U498" i="8"/>
  <c r="N306" i="8"/>
  <c r="N305" i="8"/>
  <c r="N303" i="8" s="1"/>
  <c r="Q495" i="8"/>
  <c r="T498" i="8"/>
  <c r="M323" i="7"/>
  <c r="P323" i="7" s="1"/>
  <c r="R268" i="7"/>
  <c r="R266" i="7" s="1"/>
  <c r="O122" i="7"/>
  <c r="S730" i="8"/>
  <c r="S728" i="8" s="1"/>
  <c r="K705" i="8"/>
  <c r="K631" i="8"/>
  <c r="T617" i="8"/>
  <c r="N616" i="8"/>
  <c r="R599" i="8"/>
  <c r="U599" i="8" s="1"/>
  <c r="U600" i="8"/>
  <c r="L576" i="8"/>
  <c r="O576" i="8" s="1"/>
  <c r="O577" i="8"/>
  <c r="Q513" i="8"/>
  <c r="T513" i="8" s="1"/>
  <c r="T514" i="8"/>
  <c r="Q496" i="8"/>
  <c r="T496" i="8" s="1"/>
  <c r="L493" i="8"/>
  <c r="O493" i="8" s="1"/>
  <c r="O494" i="8"/>
  <c r="K440" i="8"/>
  <c r="I423" i="8"/>
  <c r="R333" i="8"/>
  <c r="U333" i="8" s="1"/>
  <c r="U334" i="8"/>
  <c r="R72" i="8"/>
  <c r="U72" i="8" s="1"/>
  <c r="U74" i="8"/>
  <c r="P19" i="8"/>
  <c r="R415" i="8"/>
  <c r="U418" i="8"/>
  <c r="Q392" i="8"/>
  <c r="T392" i="8" s="1"/>
  <c r="T393" i="8"/>
  <c r="P287" i="8"/>
  <c r="M285" i="8"/>
  <c r="P285" i="8" s="1"/>
  <c r="L222" i="7"/>
  <c r="O222" i="7" s="1"/>
  <c r="M516" i="8"/>
  <c r="P516" i="8" s="1"/>
  <c r="K785" i="7"/>
  <c r="Q763" i="7"/>
  <c r="K727" i="7"/>
  <c r="J701" i="7"/>
  <c r="Q72" i="7"/>
  <c r="T72" i="7" s="1"/>
  <c r="K630" i="8"/>
  <c r="K626" i="8"/>
  <c r="Q599" i="8"/>
  <c r="T599" i="8" s="1"/>
  <c r="T600" i="8"/>
  <c r="R576" i="8"/>
  <c r="U576" i="8" s="1"/>
  <c r="U577" i="8"/>
  <c r="P536" i="8"/>
  <c r="M534" i="8"/>
  <c r="P534" i="8" s="1"/>
  <c r="M515" i="8"/>
  <c r="K503" i="8"/>
  <c r="S493" i="8"/>
  <c r="S416" i="8"/>
  <c r="S415" i="8"/>
  <c r="S413" i="8" s="1"/>
  <c r="R392" i="8"/>
  <c r="U392" i="8" s="1"/>
  <c r="O364" i="8"/>
  <c r="L362" i="8"/>
  <c r="O362" i="8" s="1"/>
  <c r="R356" i="8"/>
  <c r="U356" i="8" s="1"/>
  <c r="U357" i="8"/>
  <c r="Q333" i="8"/>
  <c r="T333" i="8" s="1"/>
  <c r="T334" i="8"/>
  <c r="M284" i="8"/>
  <c r="P284" i="8" s="1"/>
  <c r="O283" i="8"/>
  <c r="L254" i="8"/>
  <c r="O254" i="8" s="1"/>
  <c r="U96" i="8"/>
  <c r="R94" i="8"/>
  <c r="O19" i="8"/>
  <c r="U393" i="8"/>
  <c r="O393" i="8"/>
  <c r="M358" i="8"/>
  <c r="M356" i="8" s="1"/>
  <c r="O341" i="8"/>
  <c r="O338" i="8"/>
  <c r="P311" i="8"/>
  <c r="M309" i="8"/>
  <c r="P309" i="8" s="1"/>
  <c r="P308" i="8"/>
  <c r="M306" i="8"/>
  <c r="P306" i="8" s="1"/>
  <c r="K302" i="8"/>
  <c r="S282" i="8"/>
  <c r="L234" i="8"/>
  <c r="I242" i="8"/>
  <c r="P147" i="8"/>
  <c r="M145" i="8"/>
  <c r="P145" i="8" s="1"/>
  <c r="P144" i="8"/>
  <c r="M142" i="8"/>
  <c r="P142" i="8" s="1"/>
  <c r="M141" i="8"/>
  <c r="P141" i="8" s="1"/>
  <c r="T119" i="8"/>
  <c r="Q117" i="8"/>
  <c r="T99" i="8"/>
  <c r="Q97" i="8"/>
  <c r="Q96" i="8"/>
  <c r="T96" i="8" s="1"/>
  <c r="J332" i="8"/>
  <c r="K332" i="8" s="1"/>
  <c r="J343" i="8"/>
  <c r="L335" i="8"/>
  <c r="O325" i="8"/>
  <c r="L323" i="8"/>
  <c r="O323" i="8" s="1"/>
  <c r="R320" i="8"/>
  <c r="U320" i="8" s="1"/>
  <c r="U308" i="8"/>
  <c r="S306" i="8"/>
  <c r="U306" i="8" s="1"/>
  <c r="M305" i="8"/>
  <c r="P305" i="8" s="1"/>
  <c r="O304" i="8"/>
  <c r="R282" i="8"/>
  <c r="U282" i="8" s="1"/>
  <c r="U283" i="8"/>
  <c r="Q266" i="8"/>
  <c r="T267" i="8"/>
  <c r="N189" i="8"/>
  <c r="O189" i="8" s="1"/>
  <c r="O191" i="8"/>
  <c r="U22" i="8"/>
  <c r="P338" i="8"/>
  <c r="Q320" i="8"/>
  <c r="T320" i="8" s="1"/>
  <c r="S303" i="8"/>
  <c r="Q282" i="8"/>
  <c r="T282" i="8" s="1"/>
  <c r="T283" i="8"/>
  <c r="P271" i="8"/>
  <c r="M269" i="8"/>
  <c r="K249" i="8"/>
  <c r="L176" i="8"/>
  <c r="L175" i="8"/>
  <c r="O178" i="8"/>
  <c r="K169" i="8"/>
  <c r="N23" i="8"/>
  <c r="Q139" i="8"/>
  <c r="T139" i="8" s="1"/>
  <c r="T140" i="8"/>
  <c r="P118" i="8"/>
  <c r="S19" i="8"/>
  <c r="U304" i="8"/>
  <c r="P274" i="8"/>
  <c r="M272" i="8"/>
  <c r="P272" i="8" s="1"/>
  <c r="O271" i="8"/>
  <c r="L269" i="8"/>
  <c r="O269" i="8" s="1"/>
  <c r="M268" i="8"/>
  <c r="M266" i="8" s="1"/>
  <c r="K230" i="8"/>
  <c r="O118" i="8"/>
  <c r="P60" i="8"/>
  <c r="R24" i="8"/>
  <c r="U24" i="8" s="1"/>
  <c r="U25" i="8"/>
  <c r="R19" i="8"/>
  <c r="O334" i="8"/>
  <c r="P325" i="8"/>
  <c r="R305" i="8"/>
  <c r="U305" i="8" s="1"/>
  <c r="L305" i="8"/>
  <c r="O305" i="8" s="1"/>
  <c r="P304" i="8"/>
  <c r="L284" i="8"/>
  <c r="O284" i="8" s="1"/>
  <c r="P283" i="8"/>
  <c r="U267" i="8"/>
  <c r="O267" i="8"/>
  <c r="O165" i="8"/>
  <c r="R160" i="8"/>
  <c r="U160" i="8" s="1"/>
  <c r="R159" i="8"/>
  <c r="U159" i="8" s="1"/>
  <c r="N159" i="8"/>
  <c r="N157" i="8" s="1"/>
  <c r="P158" i="8"/>
  <c r="O147" i="8"/>
  <c r="L145" i="8"/>
  <c r="O145" i="8" s="1"/>
  <c r="O144" i="8"/>
  <c r="L142" i="8"/>
  <c r="O142" i="8" s="1"/>
  <c r="I82" i="8"/>
  <c r="P73" i="8"/>
  <c r="O67" i="8"/>
  <c r="L65" i="8"/>
  <c r="O65" i="8" s="1"/>
  <c r="L61" i="8"/>
  <c r="K260" i="8"/>
  <c r="L243" i="8"/>
  <c r="K220" i="8"/>
  <c r="K198" i="8"/>
  <c r="Q189" i="8"/>
  <c r="R188" i="8"/>
  <c r="N176" i="8"/>
  <c r="R173" i="8"/>
  <c r="U173" i="8" s="1"/>
  <c r="N163" i="8"/>
  <c r="O158" i="8"/>
  <c r="L141" i="8"/>
  <c r="U118" i="8"/>
  <c r="K92" i="8"/>
  <c r="P52" i="8"/>
  <c r="M26" i="8"/>
  <c r="P26" i="8" s="1"/>
  <c r="M50" i="8"/>
  <c r="P50" i="8" s="1"/>
  <c r="P45" i="8"/>
  <c r="P25" i="8"/>
  <c r="L309" i="8"/>
  <c r="O309" i="8" s="1"/>
  <c r="N175" i="8"/>
  <c r="N173" i="8" s="1"/>
  <c r="S157" i="8"/>
  <c r="U144" i="8"/>
  <c r="R142" i="8"/>
  <c r="U142" i="8" s="1"/>
  <c r="I138" i="8"/>
  <c r="K138" i="8" s="1"/>
  <c r="O52" i="8"/>
  <c r="L26" i="8"/>
  <c r="O26" i="8" s="1"/>
  <c r="L50" i="8"/>
  <c r="O50" i="8" s="1"/>
  <c r="L46" i="8"/>
  <c r="O25" i="8"/>
  <c r="P22" i="8"/>
  <c r="P162" i="8"/>
  <c r="N160" i="8"/>
  <c r="P160" i="8" s="1"/>
  <c r="U158" i="8"/>
  <c r="Q72" i="8"/>
  <c r="T72" i="8" s="1"/>
  <c r="O22" i="8"/>
  <c r="P191" i="8"/>
  <c r="U99" i="8"/>
  <c r="O99" i="8"/>
  <c r="K84" i="8"/>
  <c r="T77" i="8"/>
  <c r="S23" i="8"/>
  <c r="S20" i="8" s="1"/>
  <c r="M23" i="8"/>
  <c r="M21" i="8" s="1"/>
  <c r="R119" i="8"/>
  <c r="U119" i="8" s="1"/>
  <c r="L119" i="8"/>
  <c r="O119" i="8" s="1"/>
  <c r="N96" i="8"/>
  <c r="N94" i="8" s="1"/>
  <c r="S74" i="8"/>
  <c r="S72" i="8" s="1"/>
  <c r="M74" i="8"/>
  <c r="P74" i="8" s="1"/>
  <c r="M61" i="8"/>
  <c r="M46" i="8"/>
  <c r="R23" i="8"/>
  <c r="R21" i="8" s="1"/>
  <c r="L23" i="8"/>
  <c r="L21" i="8" s="1"/>
  <c r="Q23" i="8"/>
  <c r="R731" i="7"/>
  <c r="R728" i="7"/>
  <c r="M728" i="7"/>
  <c r="P728" i="7" s="1"/>
  <c r="T716" i="7"/>
  <c r="M714" i="7"/>
  <c r="P714" i="7" s="1"/>
  <c r="T695" i="7"/>
  <c r="M690" i="7"/>
  <c r="P690" i="7" s="1"/>
  <c r="R690" i="7"/>
  <c r="U690" i="7" s="1"/>
  <c r="R644" i="7"/>
  <c r="R642" i="7" s="1"/>
  <c r="P577" i="7"/>
  <c r="M576" i="7"/>
  <c r="P576" i="7" s="1"/>
  <c r="Q495" i="7"/>
  <c r="T495" i="7" s="1"/>
  <c r="T498" i="7"/>
  <c r="Q496" i="7"/>
  <c r="T496" i="7" s="1"/>
  <c r="Q416" i="7"/>
  <c r="T416" i="7" s="1"/>
  <c r="Q415" i="7"/>
  <c r="T418" i="7"/>
  <c r="Q305" i="7"/>
  <c r="Q303" i="7" s="1"/>
  <c r="Q306" i="7"/>
  <c r="T306" i="7" s="1"/>
  <c r="U283" i="7"/>
  <c r="R282" i="7"/>
  <c r="U282" i="7" s="1"/>
  <c r="Q268" i="7"/>
  <c r="Q266" i="7" s="1"/>
  <c r="Q269" i="7"/>
  <c r="T269" i="7" s="1"/>
  <c r="T271" i="7"/>
  <c r="K202" i="7"/>
  <c r="R618" i="7"/>
  <c r="R619" i="7"/>
  <c r="U619" i="7" s="1"/>
  <c r="U621" i="7"/>
  <c r="P414" i="7"/>
  <c r="M413" i="7"/>
  <c r="P413" i="7" s="1"/>
  <c r="Q377" i="7"/>
  <c r="Q375" i="7" s="1"/>
  <c r="Q378" i="7"/>
  <c r="T378" i="7" s="1"/>
  <c r="R176" i="7"/>
  <c r="U176" i="7" s="1"/>
  <c r="U178" i="7"/>
  <c r="R175" i="7"/>
  <c r="U175" i="7" s="1"/>
  <c r="J702" i="7"/>
  <c r="K759" i="7"/>
  <c r="S728" i="7"/>
  <c r="N728" i="7"/>
  <c r="I701" i="7"/>
  <c r="K701" i="7" s="1"/>
  <c r="O691" i="7"/>
  <c r="J674" i="7"/>
  <c r="K653" i="7"/>
  <c r="Q645" i="7"/>
  <c r="T645" i="7" s="1"/>
  <c r="Q642" i="7"/>
  <c r="T643" i="7"/>
  <c r="S392" i="7"/>
  <c r="J365" i="7"/>
  <c r="K365" i="7" s="1"/>
  <c r="K371" i="7"/>
  <c r="N335" i="7"/>
  <c r="N333" i="7" s="1"/>
  <c r="N336" i="7"/>
  <c r="P336" i="7" s="1"/>
  <c r="P338" i="7"/>
  <c r="R188" i="7"/>
  <c r="R186" i="7" s="1"/>
  <c r="R189" i="7"/>
  <c r="U189" i="7" s="1"/>
  <c r="K153" i="7"/>
  <c r="I138" i="7"/>
  <c r="K138" i="7" s="1"/>
  <c r="S763" i="7"/>
  <c r="M760" i="7"/>
  <c r="P760" i="7" s="1"/>
  <c r="L714" i="7"/>
  <c r="O714" i="7" s="1"/>
  <c r="Q692" i="7"/>
  <c r="T692" i="7" s="1"/>
  <c r="N690" i="7"/>
  <c r="M642" i="7"/>
  <c r="P642" i="7" s="1"/>
  <c r="M616" i="7"/>
  <c r="P616" i="7" s="1"/>
  <c r="S413" i="7"/>
  <c r="L214" i="7"/>
  <c r="O214" i="7" s="1"/>
  <c r="O762" i="7"/>
  <c r="J675" i="7"/>
  <c r="U357" i="7"/>
  <c r="R356" i="7"/>
  <c r="U356" i="7" s="1"/>
  <c r="O334" i="7"/>
  <c r="N322" i="7"/>
  <c r="N320" i="7" s="1"/>
  <c r="N323" i="7"/>
  <c r="L96" i="7"/>
  <c r="O96" i="7" s="1"/>
  <c r="R74" i="7"/>
  <c r="U74" i="7" s="1"/>
  <c r="R59" i="7"/>
  <c r="U59" i="7" s="1"/>
  <c r="N642" i="7"/>
  <c r="N599" i="7"/>
  <c r="R576" i="7"/>
  <c r="U576" i="7" s="1"/>
  <c r="Q555" i="7"/>
  <c r="T555" i="7" s="1"/>
  <c r="M555" i="7"/>
  <c r="P555" i="7" s="1"/>
  <c r="O518" i="7"/>
  <c r="L516" i="7"/>
  <c r="O516" i="7" s="1"/>
  <c r="T514" i="7"/>
  <c r="S496" i="7"/>
  <c r="S416" i="7"/>
  <c r="L413" i="7"/>
  <c r="O413" i="7" s="1"/>
  <c r="T393" i="7"/>
  <c r="K368" i="7"/>
  <c r="P364" i="7"/>
  <c r="O361" i="7"/>
  <c r="J332" i="7"/>
  <c r="L339" i="7"/>
  <c r="O339" i="7" s="1"/>
  <c r="S333" i="7"/>
  <c r="O308" i="7"/>
  <c r="K293" i="7"/>
  <c r="M288" i="7"/>
  <c r="P288" i="7" s="1"/>
  <c r="N268" i="7"/>
  <c r="N266" i="7" s="1"/>
  <c r="K221" i="7"/>
  <c r="K209" i="7"/>
  <c r="S188" i="7"/>
  <c r="S186" i="7" s="1"/>
  <c r="O181" i="7"/>
  <c r="I172" i="7"/>
  <c r="K172" i="7" s="1"/>
  <c r="P144" i="7"/>
  <c r="K116" i="7"/>
  <c r="I82" i="7"/>
  <c r="K82" i="7" s="1"/>
  <c r="T73" i="7"/>
  <c r="L61" i="7"/>
  <c r="S59" i="7"/>
  <c r="Q59" i="7"/>
  <c r="T59" i="7" s="1"/>
  <c r="P49" i="7"/>
  <c r="U494" i="7"/>
  <c r="M493" i="7"/>
  <c r="P493" i="7" s="1"/>
  <c r="L392" i="7"/>
  <c r="O392" i="7" s="1"/>
  <c r="L335" i="7"/>
  <c r="U271" i="7"/>
  <c r="L188" i="7"/>
  <c r="L186" i="7" s="1"/>
  <c r="L145" i="7"/>
  <c r="O145" i="7" s="1"/>
  <c r="R44" i="7"/>
  <c r="U44" i="7" s="1"/>
  <c r="K632" i="7"/>
  <c r="N616" i="7"/>
  <c r="Q599" i="7"/>
  <c r="T599" i="7" s="1"/>
  <c r="L599" i="7"/>
  <c r="O599" i="7" s="1"/>
  <c r="N576" i="7"/>
  <c r="N555" i="7"/>
  <c r="M515" i="7"/>
  <c r="P515" i="7" s="1"/>
  <c r="S513" i="7"/>
  <c r="S493" i="7"/>
  <c r="L493" i="7"/>
  <c r="O493" i="7" s="1"/>
  <c r="P394" i="7"/>
  <c r="R392" i="7"/>
  <c r="U392" i="7" s="1"/>
  <c r="J343" i="7"/>
  <c r="R320" i="7"/>
  <c r="U320" i="7" s="1"/>
  <c r="U308" i="7"/>
  <c r="R306" i="7"/>
  <c r="U306" i="7" s="1"/>
  <c r="L254" i="7"/>
  <c r="O254" i="7" s="1"/>
  <c r="M192" i="7"/>
  <c r="P192" i="7" s="1"/>
  <c r="P178" i="7"/>
  <c r="L175" i="7"/>
  <c r="L173" i="7" s="1"/>
  <c r="M141" i="7"/>
  <c r="P141" i="7" s="1"/>
  <c r="U144" i="7"/>
  <c r="N141" i="7"/>
  <c r="N139" i="7" s="1"/>
  <c r="S141" i="7"/>
  <c r="S139" i="7" s="1"/>
  <c r="O102" i="7"/>
  <c r="O99" i="7"/>
  <c r="O52" i="7"/>
  <c r="Q44" i="7"/>
  <c r="T44" i="7" s="1"/>
  <c r="U26" i="7"/>
  <c r="Q24" i="7"/>
  <c r="T24" i="7" s="1"/>
  <c r="N19" i="7"/>
  <c r="N392" i="7"/>
  <c r="U122" i="7"/>
  <c r="P64" i="7"/>
  <c r="L46" i="7"/>
  <c r="L44" i="7" s="1"/>
  <c r="U22" i="7"/>
  <c r="O617" i="7"/>
  <c r="R599" i="7"/>
  <c r="U599" i="7" s="1"/>
  <c r="Q576" i="7"/>
  <c r="T576" i="7" s="1"/>
  <c r="L576" i="7"/>
  <c r="O576" i="7" s="1"/>
  <c r="I423" i="7"/>
  <c r="N413" i="7"/>
  <c r="O338" i="7"/>
  <c r="L336" i="7"/>
  <c r="T334" i="7"/>
  <c r="O325" i="7"/>
  <c r="O287" i="7"/>
  <c r="I238" i="7"/>
  <c r="K238" i="7" s="1"/>
  <c r="N189" i="7"/>
  <c r="O189" i="7" s="1"/>
  <c r="P176" i="7"/>
  <c r="M120" i="7"/>
  <c r="P120" i="7" s="1"/>
  <c r="K108" i="7"/>
  <c r="O62" i="7"/>
  <c r="L19" i="7"/>
  <c r="U645" i="7"/>
  <c r="T762" i="7"/>
  <c r="S760" i="7"/>
  <c r="T760" i="7" s="1"/>
  <c r="Q356" i="7"/>
  <c r="T356" i="7" s="1"/>
  <c r="T357" i="7"/>
  <c r="K152" i="7"/>
  <c r="I137" i="7"/>
  <c r="K137" i="7" s="1"/>
  <c r="K631" i="7"/>
  <c r="T617" i="7"/>
  <c r="T556" i="7"/>
  <c r="R534" i="7"/>
  <c r="U534" i="7" s="1"/>
  <c r="L534" i="7"/>
  <c r="O534" i="7" s="1"/>
  <c r="P518" i="7"/>
  <c r="J503" i="7"/>
  <c r="J492" i="7" s="1"/>
  <c r="U380" i="7"/>
  <c r="P341" i="7"/>
  <c r="M339" i="7"/>
  <c r="P339" i="7" s="1"/>
  <c r="K314" i="7"/>
  <c r="I302" i="7"/>
  <c r="K302" i="7" s="1"/>
  <c r="P271" i="7"/>
  <c r="M269" i="7"/>
  <c r="K198" i="7"/>
  <c r="I195" i="7"/>
  <c r="K195" i="7" s="1"/>
  <c r="M188" i="7"/>
  <c r="M189" i="7"/>
  <c r="P191" i="7"/>
  <c r="U733" i="7"/>
  <c r="K707" i="7"/>
  <c r="K630" i="7"/>
  <c r="K626" i="7"/>
  <c r="L555" i="7"/>
  <c r="O555" i="7" s="1"/>
  <c r="Q534" i="7"/>
  <c r="T534" i="7" s="1"/>
  <c r="P521" i="7"/>
  <c r="K503" i="7"/>
  <c r="U498" i="7"/>
  <c r="P494" i="7"/>
  <c r="O414" i="7"/>
  <c r="U393" i="7"/>
  <c r="O393" i="7"/>
  <c r="O377" i="7"/>
  <c r="N159" i="7"/>
  <c r="N157" i="7" s="1"/>
  <c r="N160" i="7"/>
  <c r="U765" i="7"/>
  <c r="R762" i="7"/>
  <c r="P761" i="7"/>
  <c r="T733" i="7"/>
  <c r="Q730" i="7"/>
  <c r="U729" i="7"/>
  <c r="O729" i="7"/>
  <c r="U715" i="7"/>
  <c r="O715" i="7"/>
  <c r="S692" i="7"/>
  <c r="S690" i="7" s="1"/>
  <c r="S644" i="7"/>
  <c r="S642" i="7" s="1"/>
  <c r="U600" i="7"/>
  <c r="O600" i="7"/>
  <c r="U577" i="7"/>
  <c r="O577" i="7"/>
  <c r="P165" i="7"/>
  <c r="M163" i="7"/>
  <c r="P163" i="7" s="1"/>
  <c r="M159" i="7"/>
  <c r="U647" i="7"/>
  <c r="I615" i="7"/>
  <c r="K615" i="7" s="1"/>
  <c r="U414" i="7"/>
  <c r="J374" i="7"/>
  <c r="P376" i="7"/>
  <c r="P361" i="7"/>
  <c r="M359" i="7"/>
  <c r="S356" i="7"/>
  <c r="O328" i="7"/>
  <c r="L326" i="7"/>
  <c r="O326" i="7" s="1"/>
  <c r="Q320" i="7"/>
  <c r="T320" i="7" s="1"/>
  <c r="T321" i="7"/>
  <c r="K772" i="7"/>
  <c r="T647" i="7"/>
  <c r="K386" i="7"/>
  <c r="I374" i="7"/>
  <c r="M309" i="7"/>
  <c r="P309" i="7" s="1"/>
  <c r="P311" i="7"/>
  <c r="M285" i="7"/>
  <c r="P285" i="7" s="1"/>
  <c r="M284" i="7"/>
  <c r="P284" i="7" s="1"/>
  <c r="P287" i="7"/>
  <c r="N359" i="7"/>
  <c r="O359" i="7" s="1"/>
  <c r="L358" i="7"/>
  <c r="M326" i="7"/>
  <c r="P326" i="7" s="1"/>
  <c r="L322" i="7"/>
  <c r="O322" i="7" s="1"/>
  <c r="S305" i="7"/>
  <c r="S303" i="7" s="1"/>
  <c r="L284" i="7"/>
  <c r="O284" i="7" s="1"/>
  <c r="Q282" i="7"/>
  <c r="T282" i="7" s="1"/>
  <c r="I281" i="7"/>
  <c r="K281" i="7" s="1"/>
  <c r="L268" i="7"/>
  <c r="O268" i="7" s="1"/>
  <c r="L234" i="7"/>
  <c r="U162" i="7"/>
  <c r="S24" i="7"/>
  <c r="S19" i="7"/>
  <c r="N515" i="7"/>
  <c r="N513" i="7" s="1"/>
  <c r="U418" i="7"/>
  <c r="R415" i="7"/>
  <c r="U415" i="7" s="1"/>
  <c r="S377" i="7"/>
  <c r="S375" i="7" s="1"/>
  <c r="O321" i="7"/>
  <c r="L309" i="7"/>
  <c r="O309" i="7" s="1"/>
  <c r="P308" i="7"/>
  <c r="R303" i="7"/>
  <c r="N284" i="7"/>
  <c r="N282" i="7" s="1"/>
  <c r="S268" i="7"/>
  <c r="O267" i="7"/>
  <c r="I253" i="7"/>
  <c r="K253" i="7" s="1"/>
  <c r="K260" i="7"/>
  <c r="L243" i="7"/>
  <c r="I242" i="7"/>
  <c r="Q117" i="7"/>
  <c r="O118" i="7"/>
  <c r="T95" i="7"/>
  <c r="Q94" i="7"/>
  <c r="T94" i="7" s="1"/>
  <c r="M335" i="7"/>
  <c r="P283" i="7"/>
  <c r="P274" i="7"/>
  <c r="M272" i="7"/>
  <c r="P272" i="7" s="1"/>
  <c r="U267" i="7"/>
  <c r="Q186" i="7"/>
  <c r="T186" i="7" s="1"/>
  <c r="T188" i="7"/>
  <c r="T380" i="7"/>
  <c r="K330" i="7"/>
  <c r="T308" i="7"/>
  <c r="N305" i="7"/>
  <c r="N303" i="7" s="1"/>
  <c r="O271" i="7"/>
  <c r="I213" i="7"/>
  <c r="K213" i="7" s="1"/>
  <c r="K220" i="7"/>
  <c r="O178" i="7"/>
  <c r="R159" i="7"/>
  <c r="U159" i="7" s="1"/>
  <c r="P52" i="7"/>
  <c r="M26" i="7"/>
  <c r="P26" i="7" s="1"/>
  <c r="M50" i="7"/>
  <c r="P50" i="7" s="1"/>
  <c r="M305" i="7"/>
  <c r="P305" i="7" s="1"/>
  <c r="P304" i="7"/>
  <c r="S282" i="7"/>
  <c r="N269" i="7"/>
  <c r="N175" i="7"/>
  <c r="N173" i="7" s="1"/>
  <c r="U174" i="7"/>
  <c r="U19" i="7"/>
  <c r="U191" i="7"/>
  <c r="Q189" i="7"/>
  <c r="T189" i="7" s="1"/>
  <c r="O165" i="7"/>
  <c r="T162" i="7"/>
  <c r="Q159" i="7"/>
  <c r="Q141" i="7"/>
  <c r="T141" i="7" s="1"/>
  <c r="T140" i="7"/>
  <c r="R117" i="7"/>
  <c r="N96" i="7"/>
  <c r="N94" i="7" s="1"/>
  <c r="I93" i="7"/>
  <c r="K93" i="7" s="1"/>
  <c r="N74" i="7"/>
  <c r="N72" i="7" s="1"/>
  <c r="P67" i="7"/>
  <c r="M65" i="7"/>
  <c r="P65" i="7" s="1"/>
  <c r="T191" i="7"/>
  <c r="M175" i="7"/>
  <c r="M173" i="7" s="1"/>
  <c r="P174" i="7"/>
  <c r="M160" i="7"/>
  <c r="P160" i="7" s="1"/>
  <c r="K154" i="7"/>
  <c r="K127" i="7"/>
  <c r="M123" i="7"/>
  <c r="P123" i="7" s="1"/>
  <c r="T99" i="7"/>
  <c r="M96" i="7"/>
  <c r="P96" i="7" s="1"/>
  <c r="L26" i="7"/>
  <c r="O80" i="7"/>
  <c r="L74" i="7"/>
  <c r="O47" i="7"/>
  <c r="N119" i="7"/>
  <c r="N117" i="7" s="1"/>
  <c r="S97" i="7"/>
  <c r="M145" i="7"/>
  <c r="P145" i="7" s="1"/>
  <c r="T122" i="7"/>
  <c r="M119" i="7"/>
  <c r="Q97" i="7"/>
  <c r="T97" i="7" s="1"/>
  <c r="R23" i="7"/>
  <c r="U77" i="7"/>
  <c r="P47" i="7"/>
  <c r="P22" i="7"/>
  <c r="M19" i="7"/>
  <c r="L159" i="7"/>
  <c r="O159" i="7" s="1"/>
  <c r="Q142" i="7"/>
  <c r="T142" i="7" s="1"/>
  <c r="R94" i="7"/>
  <c r="U94" i="7" s="1"/>
  <c r="L75" i="7"/>
  <c r="O75" i="7" s="1"/>
  <c r="N26" i="7"/>
  <c r="N24" i="7" s="1"/>
  <c r="P25" i="7"/>
  <c r="O19" i="7"/>
  <c r="R120" i="7"/>
  <c r="U120" i="7" s="1"/>
  <c r="L120" i="7"/>
  <c r="O120" i="7" s="1"/>
  <c r="R97" i="7"/>
  <c r="U97" i="7" s="1"/>
  <c r="L97" i="7"/>
  <c r="O97" i="7" s="1"/>
  <c r="Q75" i="7"/>
  <c r="T75" i="7" s="1"/>
  <c r="O64" i="7"/>
  <c r="N50" i="7"/>
  <c r="O49" i="7"/>
  <c r="N23" i="7"/>
  <c r="N46" i="7"/>
  <c r="S23" i="7"/>
  <c r="S20" i="7" s="1"/>
  <c r="M23" i="7"/>
  <c r="M21" i="7" s="1"/>
  <c r="Q19" i="7"/>
  <c r="S74" i="7"/>
  <c r="S72" i="7" s="1"/>
  <c r="M74" i="7"/>
  <c r="M61" i="7"/>
  <c r="M46" i="7"/>
  <c r="L23" i="7"/>
  <c r="Q23" i="7"/>
  <c r="L22" i="6"/>
  <c r="M22" i="6"/>
  <c r="M19" i="6" s="1"/>
  <c r="N22" i="6"/>
  <c r="Q22" i="6"/>
  <c r="R22" i="6"/>
  <c r="S22" i="6"/>
  <c r="T22" i="6"/>
  <c r="Q24" i="6"/>
  <c r="T24" i="6" s="1"/>
  <c r="L25" i="6"/>
  <c r="M25" i="6"/>
  <c r="N25" i="6"/>
  <c r="Q25" i="6"/>
  <c r="R25" i="6"/>
  <c r="S25" i="6"/>
  <c r="S24" i="6" s="1"/>
  <c r="T25" i="6"/>
  <c r="Q26" i="6"/>
  <c r="T26" i="6" s="1"/>
  <c r="R26" i="6"/>
  <c r="U26" i="6" s="1"/>
  <c r="S26" i="6"/>
  <c r="L45" i="6"/>
  <c r="O45" i="6" s="1"/>
  <c r="M45" i="6"/>
  <c r="N45" i="6"/>
  <c r="Q45" i="6"/>
  <c r="T45" i="6" s="1"/>
  <c r="R45" i="6"/>
  <c r="U45" i="6" s="1"/>
  <c r="S45" i="6"/>
  <c r="S44" i="6" s="1"/>
  <c r="Q46" i="6"/>
  <c r="T46" i="6" s="1"/>
  <c r="R46" i="6"/>
  <c r="S46" i="6"/>
  <c r="U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M47" i="6" s="1"/>
  <c r="N49" i="6"/>
  <c r="T49" i="6"/>
  <c r="U49" i="6"/>
  <c r="Q50" i="6"/>
  <c r="T50" i="6" s="1"/>
  <c r="R50" i="6"/>
  <c r="S50" i="6"/>
  <c r="U50" i="6"/>
  <c r="O51" i="6"/>
  <c r="P51" i="6"/>
  <c r="T51" i="6"/>
  <c r="U51" i="6"/>
  <c r="L52" i="6"/>
  <c r="M52" i="6"/>
  <c r="N52" i="6"/>
  <c r="N50" i="6" s="1"/>
  <c r="T52" i="6"/>
  <c r="U52" i="6"/>
  <c r="L60" i="6"/>
  <c r="O60" i="6" s="1"/>
  <c r="M60" i="6"/>
  <c r="N60" i="6"/>
  <c r="Q60" i="6"/>
  <c r="Q59" i="6" s="1"/>
  <c r="T59" i="6" s="1"/>
  <c r="R60" i="6"/>
  <c r="R59" i="6" s="1"/>
  <c r="U59" i="6" s="1"/>
  <c r="S60" i="6"/>
  <c r="S59" i="6" s="1"/>
  <c r="T60" i="6"/>
  <c r="U60" i="6"/>
  <c r="Q61" i="6"/>
  <c r="T61" i="6" s="1"/>
  <c r="R61" i="6"/>
  <c r="S61" i="6"/>
  <c r="U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N62" i="6" s="1"/>
  <c r="T64" i="6"/>
  <c r="U64" i="6"/>
  <c r="Q65" i="6"/>
  <c r="T65" i="6" s="1"/>
  <c r="R65" i="6"/>
  <c r="U65" i="6" s="1"/>
  <c r="S65" i="6"/>
  <c r="O66" i="6"/>
  <c r="P66" i="6"/>
  <c r="T66" i="6"/>
  <c r="U66" i="6"/>
  <c r="L67" i="6"/>
  <c r="M67" i="6"/>
  <c r="N67" i="6"/>
  <c r="N65" i="6" s="1"/>
  <c r="T67" i="6"/>
  <c r="U67" i="6"/>
  <c r="L73" i="6"/>
  <c r="M73" i="6"/>
  <c r="N73" i="6"/>
  <c r="O73" i="6"/>
  <c r="Q73" i="6"/>
  <c r="R73" i="6"/>
  <c r="S73" i="6"/>
  <c r="U73" i="6"/>
  <c r="O76" i="6"/>
  <c r="P76" i="6"/>
  <c r="T76" i="6"/>
  <c r="U76" i="6"/>
  <c r="L77" i="6"/>
  <c r="O77" i="6" s="1"/>
  <c r="M77" i="6"/>
  <c r="M75" i="6" s="1"/>
  <c r="P75" i="6" s="1"/>
  <c r="N77" i="6"/>
  <c r="N75" i="6" s="1"/>
  <c r="Q77" i="6"/>
  <c r="Q74" i="6" s="1"/>
  <c r="T74" i="6" s="1"/>
  <c r="R77" i="6"/>
  <c r="R74" i="6" s="1"/>
  <c r="S77" i="6"/>
  <c r="S75" i="6" s="1"/>
  <c r="Q78" i="6"/>
  <c r="T78" i="6" s="1"/>
  <c r="R78" i="6"/>
  <c r="U78" i="6" s="1"/>
  <c r="S78" i="6"/>
  <c r="O79" i="6"/>
  <c r="P79" i="6"/>
  <c r="T79" i="6"/>
  <c r="U79" i="6"/>
  <c r="L80" i="6"/>
  <c r="L78" i="6" s="1"/>
  <c r="O78" i="6" s="1"/>
  <c r="M80" i="6"/>
  <c r="M78" i="6" s="1"/>
  <c r="P78" i="6" s="1"/>
  <c r="N80" i="6"/>
  <c r="N78" i="6" s="1"/>
  <c r="T80" i="6"/>
  <c r="U80" i="6"/>
  <c r="J82" i="6"/>
  <c r="J70" i="6" s="1"/>
  <c r="J83" i="6"/>
  <c r="J71" i="6" s="1"/>
  <c r="I84" i="6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O95" i="6"/>
  <c r="P95" i="6"/>
  <c r="Q95" i="6"/>
  <c r="R95" i="6"/>
  <c r="S95" i="6"/>
  <c r="T95" i="6"/>
  <c r="U95" i="6"/>
  <c r="O98" i="6"/>
  <c r="P98" i="6"/>
  <c r="T98" i="6"/>
  <c r="U98" i="6"/>
  <c r="L99" i="6"/>
  <c r="M99" i="6"/>
  <c r="P99" i="6" s="1"/>
  <c r="N99" i="6"/>
  <c r="N97" i="6" s="1"/>
  <c r="Q99" i="6"/>
  <c r="R99" i="6"/>
  <c r="R96" i="6" s="1"/>
  <c r="S99" i="6"/>
  <c r="S96" i="6" s="1"/>
  <c r="Q100" i="6"/>
  <c r="T100" i="6" s="1"/>
  <c r="R100" i="6"/>
  <c r="U100" i="6" s="1"/>
  <c r="S100" i="6"/>
  <c r="O101" i="6"/>
  <c r="P101" i="6"/>
  <c r="T101" i="6"/>
  <c r="U101" i="6"/>
  <c r="L102" i="6"/>
  <c r="O102" i="6" s="1"/>
  <c r="M102" i="6"/>
  <c r="M100" i="6" s="1"/>
  <c r="P100" i="6" s="1"/>
  <c r="N102" i="6"/>
  <c r="N100" i="6" s="1"/>
  <c r="T102" i="6"/>
  <c r="U102" i="6"/>
  <c r="I108" i="6"/>
  <c r="K108" i="6" s="1"/>
  <c r="I109" i="6"/>
  <c r="K109" i="6" s="1"/>
  <c r="I113" i="6"/>
  <c r="K113" i="6" s="1"/>
  <c r="I114" i="6"/>
  <c r="K114" i="6" s="1"/>
  <c r="J116" i="6"/>
  <c r="L118" i="6"/>
  <c r="M118" i="6"/>
  <c r="N118" i="6"/>
  <c r="Q118" i="6"/>
  <c r="T118" i="6" s="1"/>
  <c r="R118" i="6"/>
  <c r="S118" i="6"/>
  <c r="O121" i="6"/>
  <c r="P121" i="6"/>
  <c r="T121" i="6"/>
  <c r="U121" i="6"/>
  <c r="L122" i="6"/>
  <c r="L120" i="6" s="1"/>
  <c r="O120" i="6" s="1"/>
  <c r="M122" i="6"/>
  <c r="M120" i="6" s="1"/>
  <c r="P120" i="6" s="1"/>
  <c r="N122" i="6"/>
  <c r="N120" i="6" s="1"/>
  <c r="Q122" i="6"/>
  <c r="Q119" i="6" s="1"/>
  <c r="Q117" i="6" s="1"/>
  <c r="R122" i="6"/>
  <c r="R120" i="6" s="1"/>
  <c r="S122" i="6"/>
  <c r="S119" i="6" s="1"/>
  <c r="Q123" i="6"/>
  <c r="T123" i="6" s="1"/>
  <c r="R123" i="6"/>
  <c r="S123" i="6"/>
  <c r="U123" i="6"/>
  <c r="O124" i="6"/>
  <c r="P124" i="6"/>
  <c r="T124" i="6"/>
  <c r="U124" i="6"/>
  <c r="L125" i="6"/>
  <c r="L123" i="6" s="1"/>
  <c r="O123" i="6" s="1"/>
  <c r="M125" i="6"/>
  <c r="P125" i="6" s="1"/>
  <c r="N125" i="6"/>
  <c r="N123" i="6" s="1"/>
  <c r="T125" i="6"/>
  <c r="U125" i="6"/>
  <c r="I127" i="6"/>
  <c r="I116" i="6" s="1"/>
  <c r="K116" i="6" s="1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N140" i="6"/>
  <c r="P140" i="6"/>
  <c r="Q140" i="6"/>
  <c r="T140" i="6" s="1"/>
  <c r="R140" i="6"/>
  <c r="S140" i="6"/>
  <c r="U140" i="6"/>
  <c r="O143" i="6"/>
  <c r="P143" i="6"/>
  <c r="T143" i="6"/>
  <c r="U143" i="6"/>
  <c r="L144" i="6"/>
  <c r="L142" i="6" s="1"/>
  <c r="O142" i="6" s="1"/>
  <c r="M144" i="6"/>
  <c r="N144" i="6"/>
  <c r="N142" i="6" s="1"/>
  <c r="Q144" i="6"/>
  <c r="T144" i="6" s="1"/>
  <c r="R144" i="6"/>
  <c r="R142" i="6" s="1"/>
  <c r="U142" i="6" s="1"/>
  <c r="S144" i="6"/>
  <c r="S142" i="6" s="1"/>
  <c r="Q145" i="6"/>
  <c r="T145" i="6" s="1"/>
  <c r="R145" i="6"/>
  <c r="S145" i="6"/>
  <c r="U145" i="6"/>
  <c r="O146" i="6"/>
  <c r="P146" i="6"/>
  <c r="T146" i="6"/>
  <c r="U146" i="6"/>
  <c r="L147" i="6"/>
  <c r="L145" i="6" s="1"/>
  <c r="O145" i="6" s="1"/>
  <c r="M147" i="6"/>
  <c r="N147" i="6"/>
  <c r="N145" i="6" s="1"/>
  <c r="T147" i="6"/>
  <c r="U147" i="6"/>
  <c r="I150" i="6"/>
  <c r="K150" i="6" s="1"/>
  <c r="I151" i="6"/>
  <c r="K151" i="6" s="1"/>
  <c r="I152" i="6"/>
  <c r="K152" i="6" s="1"/>
  <c r="I153" i="6"/>
  <c r="K153" i="6" s="1"/>
  <c r="I154" i="6"/>
  <c r="K154" i="6" s="1"/>
  <c r="J156" i="6"/>
  <c r="L158" i="6"/>
  <c r="O158" i="6" s="1"/>
  <c r="M158" i="6"/>
  <c r="P158" i="6" s="1"/>
  <c r="N158" i="6"/>
  <c r="Q158" i="6"/>
  <c r="T158" i="6" s="1"/>
  <c r="R158" i="6"/>
  <c r="S158" i="6"/>
  <c r="U158" i="6"/>
  <c r="O161" i="6"/>
  <c r="P161" i="6"/>
  <c r="T161" i="6"/>
  <c r="U161" i="6"/>
  <c r="L162" i="6"/>
  <c r="L160" i="6" s="1"/>
  <c r="O160" i="6" s="1"/>
  <c r="M162" i="6"/>
  <c r="P162" i="6" s="1"/>
  <c r="N162" i="6"/>
  <c r="N160" i="6" s="1"/>
  <c r="Q162" i="6"/>
  <c r="Q160" i="6" s="1"/>
  <c r="T160" i="6" s="1"/>
  <c r="R162" i="6"/>
  <c r="R160" i="6" s="1"/>
  <c r="U160" i="6" s="1"/>
  <c r="S162" i="6"/>
  <c r="S159" i="6" s="1"/>
  <c r="Q163" i="6"/>
  <c r="T163" i="6" s="1"/>
  <c r="R163" i="6"/>
  <c r="S163" i="6"/>
  <c r="U163" i="6"/>
  <c r="O164" i="6"/>
  <c r="P164" i="6"/>
  <c r="T164" i="6"/>
  <c r="U164" i="6"/>
  <c r="L165" i="6"/>
  <c r="L163" i="6" s="1"/>
  <c r="O163" i="6" s="1"/>
  <c r="M165" i="6"/>
  <c r="P165" i="6" s="1"/>
  <c r="N165" i="6"/>
  <c r="N163" i="6" s="1"/>
  <c r="T165" i="6"/>
  <c r="U165" i="6"/>
  <c r="I167" i="6"/>
  <c r="K167" i="6" s="1"/>
  <c r="I168" i="6"/>
  <c r="K168" i="6" s="1"/>
  <c r="I169" i="6"/>
  <c r="J172" i="6"/>
  <c r="L174" i="6"/>
  <c r="M174" i="6"/>
  <c r="N174" i="6"/>
  <c r="Q174" i="6"/>
  <c r="T174" i="6" s="1"/>
  <c r="R174" i="6"/>
  <c r="S174" i="6"/>
  <c r="O177" i="6"/>
  <c r="P177" i="6"/>
  <c r="T177" i="6"/>
  <c r="U177" i="6"/>
  <c r="L178" i="6"/>
  <c r="M178" i="6"/>
  <c r="N178" i="6"/>
  <c r="Q178" i="6"/>
  <c r="Q175" i="6" s="1"/>
  <c r="Q173" i="6" s="1"/>
  <c r="T173" i="6" s="1"/>
  <c r="R178" i="6"/>
  <c r="R176" i="6" s="1"/>
  <c r="U176" i="6" s="1"/>
  <c r="S178" i="6"/>
  <c r="S175" i="6" s="1"/>
  <c r="Q179" i="6"/>
  <c r="T179" i="6" s="1"/>
  <c r="R179" i="6"/>
  <c r="U179" i="6" s="1"/>
  <c r="S179" i="6"/>
  <c r="O180" i="6"/>
  <c r="P180" i="6"/>
  <c r="T180" i="6"/>
  <c r="U180" i="6"/>
  <c r="L181" i="6"/>
  <c r="L179" i="6" s="1"/>
  <c r="O179" i="6" s="1"/>
  <c r="M181" i="6"/>
  <c r="P181" i="6" s="1"/>
  <c r="N181" i="6"/>
  <c r="N179" i="6" s="1"/>
  <c r="T181" i="6"/>
  <c r="U181" i="6"/>
  <c r="I183" i="6"/>
  <c r="I172" i="6" s="1"/>
  <c r="K172" i="6" s="1"/>
  <c r="K184" i="6"/>
  <c r="L187" i="6"/>
  <c r="M187" i="6"/>
  <c r="N187" i="6"/>
  <c r="O187" i="6"/>
  <c r="P187" i="6"/>
  <c r="Q187" i="6"/>
  <c r="R187" i="6"/>
  <c r="S187" i="6"/>
  <c r="U187" i="6"/>
  <c r="O190" i="6"/>
  <c r="P190" i="6"/>
  <c r="T190" i="6"/>
  <c r="U190" i="6"/>
  <c r="L191" i="6"/>
  <c r="M191" i="6"/>
  <c r="M189" i="6" s="1"/>
  <c r="N191" i="6"/>
  <c r="N189" i="6" s="1"/>
  <c r="Q191" i="6"/>
  <c r="Q188" i="6" s="1"/>
  <c r="T188" i="6" s="1"/>
  <c r="R191" i="6"/>
  <c r="R188" i="6" s="1"/>
  <c r="S191" i="6"/>
  <c r="S189" i="6" s="1"/>
  <c r="Q192" i="6"/>
  <c r="R192" i="6"/>
  <c r="S192" i="6"/>
  <c r="T192" i="6"/>
  <c r="U192" i="6"/>
  <c r="O193" i="6"/>
  <c r="P193" i="6"/>
  <c r="T193" i="6"/>
  <c r="U193" i="6"/>
  <c r="L194" i="6"/>
  <c r="M194" i="6"/>
  <c r="N194" i="6"/>
  <c r="N192" i="6" s="1"/>
  <c r="T194" i="6"/>
  <c r="U194" i="6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K209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K221" i="6" s="1"/>
  <c r="I230" i="6"/>
  <c r="K230" i="6" s="1"/>
  <c r="N233" i="6"/>
  <c r="N234" i="6"/>
  <c r="N235" i="6"/>
  <c r="N236" i="6"/>
  <c r="J238" i="6"/>
  <c r="I240" i="6"/>
  <c r="K240" i="6" s="1"/>
  <c r="J240" i="6"/>
  <c r="I241" i="6"/>
  <c r="J241" i="6"/>
  <c r="K241" i="6"/>
  <c r="J242" i="6"/>
  <c r="J231" i="6" s="1"/>
  <c r="J185" i="6" s="1"/>
  <c r="N243" i="6"/>
  <c r="P243" i="6"/>
  <c r="L244" i="6"/>
  <c r="L245" i="6"/>
  <c r="L246" i="6"/>
  <c r="L247" i="6"/>
  <c r="I249" i="6"/>
  <c r="I242" i="6" s="1"/>
  <c r="K242" i="6" s="1"/>
  <c r="K251" i="6"/>
  <c r="K252" i="6"/>
  <c r="J253" i="6"/>
  <c r="N254" i="6"/>
  <c r="N232" i="6" s="1"/>
  <c r="P254" i="6"/>
  <c r="L255" i="6"/>
  <c r="L256" i="6"/>
  <c r="L257" i="6"/>
  <c r="L258" i="6"/>
  <c r="I260" i="6"/>
  <c r="K262" i="6"/>
  <c r="K263" i="6"/>
  <c r="J265" i="6"/>
  <c r="L267" i="6"/>
  <c r="M267" i="6"/>
  <c r="N267" i="6"/>
  <c r="Q267" i="6"/>
  <c r="T267" i="6" s="1"/>
  <c r="R267" i="6"/>
  <c r="S267" i="6"/>
  <c r="O270" i="6"/>
  <c r="P270" i="6"/>
  <c r="T270" i="6"/>
  <c r="U270" i="6"/>
  <c r="L271" i="6"/>
  <c r="M271" i="6"/>
  <c r="N271" i="6"/>
  <c r="Q271" i="6"/>
  <c r="Q268" i="6" s="1"/>
  <c r="R271" i="6"/>
  <c r="S271" i="6"/>
  <c r="Q272" i="6"/>
  <c r="T272" i="6" s="1"/>
  <c r="R272" i="6"/>
  <c r="S272" i="6"/>
  <c r="U272" i="6"/>
  <c r="O273" i="6"/>
  <c r="P273" i="6"/>
  <c r="T273" i="6"/>
  <c r="U273" i="6"/>
  <c r="L274" i="6"/>
  <c r="L272" i="6" s="1"/>
  <c r="O272" i="6" s="1"/>
  <c r="M274" i="6"/>
  <c r="N274" i="6"/>
  <c r="N272" i="6" s="1"/>
  <c r="T274" i="6"/>
  <c r="U274" i="6"/>
  <c r="I276" i="6"/>
  <c r="I265" i="6" s="1"/>
  <c r="J281" i="6"/>
  <c r="L283" i="6"/>
  <c r="O283" i="6" s="1"/>
  <c r="M283" i="6"/>
  <c r="N283" i="6"/>
  <c r="Q283" i="6"/>
  <c r="T283" i="6" s="1"/>
  <c r="R283" i="6"/>
  <c r="U283" i="6" s="1"/>
  <c r="S283" i="6"/>
  <c r="Q284" i="6"/>
  <c r="T284" i="6" s="1"/>
  <c r="R284" i="6"/>
  <c r="S284" i="6"/>
  <c r="U284" i="6"/>
  <c r="Q285" i="6"/>
  <c r="T285" i="6" s="1"/>
  <c r="R285" i="6"/>
  <c r="U285" i="6" s="1"/>
  <c r="S285" i="6"/>
  <c r="O286" i="6"/>
  <c r="P286" i="6"/>
  <c r="T286" i="6"/>
  <c r="U286" i="6"/>
  <c r="L287" i="6"/>
  <c r="L285" i="6" s="1"/>
  <c r="O285" i="6" s="1"/>
  <c r="M287" i="6"/>
  <c r="M285" i="6" s="1"/>
  <c r="P285" i="6" s="1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O290" i="6" s="1"/>
  <c r="M290" i="6"/>
  <c r="M288" i="6" s="1"/>
  <c r="P288" i="6" s="1"/>
  <c r="N290" i="6"/>
  <c r="N288" i="6" s="1"/>
  <c r="T290" i="6"/>
  <c r="U290" i="6"/>
  <c r="I292" i="6"/>
  <c r="K292" i="6" s="1"/>
  <c r="I293" i="6"/>
  <c r="I280" i="6" s="1"/>
  <c r="K280" i="6" s="1"/>
  <c r="J293" i="6"/>
  <c r="J280" i="6" s="1"/>
  <c r="I295" i="6"/>
  <c r="K295" i="6" s="1"/>
  <c r="I296" i="6"/>
  <c r="K296" i="6" s="1"/>
  <c r="J302" i="6"/>
  <c r="L304" i="6"/>
  <c r="M304" i="6"/>
  <c r="P304" i="6" s="1"/>
  <c r="N304" i="6"/>
  <c r="O304" i="6"/>
  <c r="Q304" i="6"/>
  <c r="R304" i="6"/>
  <c r="S304" i="6"/>
  <c r="U304" i="6"/>
  <c r="O307" i="6"/>
  <c r="P307" i="6"/>
  <c r="T307" i="6"/>
  <c r="U307" i="6"/>
  <c r="L308" i="6"/>
  <c r="L306" i="6" s="1"/>
  <c r="O306" i="6" s="1"/>
  <c r="M308" i="6"/>
  <c r="M306" i="6" s="1"/>
  <c r="P306" i="6" s="1"/>
  <c r="N308" i="6"/>
  <c r="N306" i="6" s="1"/>
  <c r="Q308" i="6"/>
  <c r="R308" i="6"/>
  <c r="R305" i="6" s="1"/>
  <c r="U305" i="6" s="1"/>
  <c r="S308" i="6"/>
  <c r="S306" i="6" s="1"/>
  <c r="Q309" i="6"/>
  <c r="T309" i="6" s="1"/>
  <c r="R309" i="6"/>
  <c r="S309" i="6"/>
  <c r="U309" i="6"/>
  <c r="O310" i="6"/>
  <c r="P310" i="6"/>
  <c r="T310" i="6"/>
  <c r="U310" i="6"/>
  <c r="L311" i="6"/>
  <c r="L309" i="6" s="1"/>
  <c r="O309" i="6" s="1"/>
  <c r="M311" i="6"/>
  <c r="P311" i="6" s="1"/>
  <c r="N311" i="6"/>
  <c r="N309" i="6" s="1"/>
  <c r="T311" i="6"/>
  <c r="U311" i="6"/>
  <c r="I314" i="6"/>
  <c r="J319" i="6"/>
  <c r="L321" i="6"/>
  <c r="O321" i="6" s="1"/>
  <c r="M321" i="6"/>
  <c r="N321" i="6"/>
  <c r="P321" i="6"/>
  <c r="Q321" i="6"/>
  <c r="R321" i="6"/>
  <c r="S321" i="6"/>
  <c r="Q322" i="6"/>
  <c r="T322" i="6" s="1"/>
  <c r="R322" i="6"/>
  <c r="U322" i="6" s="1"/>
  <c r="S322" i="6"/>
  <c r="S320" i="6" s="1"/>
  <c r="Q323" i="6"/>
  <c r="T323" i="6" s="1"/>
  <c r="R323" i="6"/>
  <c r="S323" i="6"/>
  <c r="U323" i="6"/>
  <c r="O324" i="6"/>
  <c r="P324" i="6"/>
  <c r="T324" i="6"/>
  <c r="U324" i="6"/>
  <c r="L325" i="6"/>
  <c r="L323" i="6" s="1"/>
  <c r="O323" i="6" s="1"/>
  <c r="M325" i="6"/>
  <c r="P325" i="6" s="1"/>
  <c r="N325" i="6"/>
  <c r="N323" i="6" s="1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L326" i="6" s="1"/>
  <c r="O326" i="6" s="1"/>
  <c r="M328" i="6"/>
  <c r="P328" i="6" s="1"/>
  <c r="N328" i="6"/>
  <c r="N326" i="6" s="1"/>
  <c r="T328" i="6"/>
  <c r="U328" i="6"/>
  <c r="I330" i="6"/>
  <c r="I319" i="6" s="1"/>
  <c r="K319" i="6" s="1"/>
  <c r="L334" i="6"/>
  <c r="O334" i="6" s="1"/>
  <c r="M334" i="6"/>
  <c r="N334" i="6"/>
  <c r="Q334" i="6"/>
  <c r="R334" i="6"/>
  <c r="U334" i="6" s="1"/>
  <c r="S334" i="6"/>
  <c r="S333" i="6" s="1"/>
  <c r="T334" i="6"/>
  <c r="Q335" i="6"/>
  <c r="R335" i="6"/>
  <c r="S335" i="6"/>
  <c r="Q336" i="6"/>
  <c r="R336" i="6"/>
  <c r="U336" i="6" s="1"/>
  <c r="S336" i="6"/>
  <c r="T336" i="6"/>
  <c r="O337" i="6"/>
  <c r="P337" i="6"/>
  <c r="T337" i="6"/>
  <c r="U337" i="6"/>
  <c r="L338" i="6"/>
  <c r="M338" i="6"/>
  <c r="N338" i="6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L339" i="6" s="1"/>
  <c r="O339" i="6" s="1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S356" i="6"/>
  <c r="L357" i="6"/>
  <c r="M357" i="6"/>
  <c r="P357" i="6" s="1"/>
  <c r="N357" i="6"/>
  <c r="O357" i="6"/>
  <c r="Q357" i="6"/>
  <c r="R357" i="6"/>
  <c r="S357" i="6"/>
  <c r="U357" i="6"/>
  <c r="Q358" i="6"/>
  <c r="T358" i="6" s="1"/>
  <c r="R358" i="6"/>
  <c r="S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N361" i="6"/>
  <c r="T361" i="6"/>
  <c r="U361" i="6"/>
  <c r="Q362" i="6"/>
  <c r="T362" i="6" s="1"/>
  <c r="R362" i="6"/>
  <c r="S362" i="6"/>
  <c r="U362" i="6"/>
  <c r="O363" i="6"/>
  <c r="P363" i="6"/>
  <c r="T363" i="6"/>
  <c r="U363" i="6"/>
  <c r="L364" i="6"/>
  <c r="O364" i="6" s="1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M376" i="6"/>
  <c r="N376" i="6"/>
  <c r="P376" i="6"/>
  <c r="Q376" i="6"/>
  <c r="R376" i="6"/>
  <c r="S376" i="6"/>
  <c r="L377" i="6"/>
  <c r="O377" i="6" s="1"/>
  <c r="M377" i="6"/>
  <c r="P377" i="6" s="1"/>
  <c r="N377" i="6"/>
  <c r="N375" i="6" s="1"/>
  <c r="L378" i="6"/>
  <c r="O378" i="6" s="1"/>
  <c r="M378" i="6"/>
  <c r="N378" i="6"/>
  <c r="P378" i="6"/>
  <c r="O379" i="6"/>
  <c r="P379" i="6"/>
  <c r="T379" i="6"/>
  <c r="U379" i="6"/>
  <c r="O380" i="6"/>
  <c r="P380" i="6"/>
  <c r="Q380" i="6"/>
  <c r="R380" i="6"/>
  <c r="R378" i="6" s="1"/>
  <c r="S380" i="6"/>
  <c r="S377" i="6" s="1"/>
  <c r="L381" i="6"/>
  <c r="O381" i="6" s="1"/>
  <c r="M381" i="6"/>
  <c r="P381" i="6" s="1"/>
  <c r="N381" i="6"/>
  <c r="Q381" i="6"/>
  <c r="T381" i="6" s="1"/>
  <c r="R381" i="6"/>
  <c r="U381" i="6" s="1"/>
  <c r="S381" i="6"/>
  <c r="O382" i="6"/>
  <c r="P382" i="6"/>
  <c r="T382" i="6"/>
  <c r="U382" i="6"/>
  <c r="O383" i="6"/>
  <c r="P383" i="6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J391" i="6"/>
  <c r="K391" i="6"/>
  <c r="Q392" i="6"/>
  <c r="T392" i="6" s="1"/>
  <c r="L393" i="6"/>
  <c r="O393" i="6" s="1"/>
  <c r="M393" i="6"/>
  <c r="N393" i="6"/>
  <c r="Q393" i="6"/>
  <c r="T393" i="6" s="1"/>
  <c r="R393" i="6"/>
  <c r="U393" i="6" s="1"/>
  <c r="S393" i="6"/>
  <c r="S392" i="6" s="1"/>
  <c r="L394" i="6"/>
  <c r="O394" i="6" s="1"/>
  <c r="M394" i="6"/>
  <c r="N394" i="6"/>
  <c r="P394" i="6"/>
  <c r="Q394" i="6"/>
  <c r="R394" i="6"/>
  <c r="U394" i="6" s="1"/>
  <c r="S394" i="6"/>
  <c r="T394" i="6"/>
  <c r="L395" i="6"/>
  <c r="O395" i="6" s="1"/>
  <c r="M395" i="6"/>
  <c r="N395" i="6"/>
  <c r="P395" i="6"/>
  <c r="Q395" i="6"/>
  <c r="T395" i="6" s="1"/>
  <c r="R395" i="6"/>
  <c r="U395" i="6" s="1"/>
  <c r="S395" i="6"/>
  <c r="O396" i="6"/>
  <c r="P396" i="6"/>
  <c r="T396" i="6"/>
  <c r="U396" i="6"/>
  <c r="O397" i="6"/>
  <c r="P397" i="6"/>
  <c r="T397" i="6"/>
  <c r="U397" i="6"/>
  <c r="L398" i="6"/>
  <c r="O398" i="6" s="1"/>
  <c r="M398" i="6"/>
  <c r="N398" i="6"/>
  <c r="P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N413" i="6"/>
  <c r="L414" i="6"/>
  <c r="O414" i="6" s="1"/>
  <c r="M414" i="6"/>
  <c r="N414" i="6"/>
  <c r="P414" i="6"/>
  <c r="Q414" i="6"/>
  <c r="R414" i="6"/>
  <c r="S414" i="6"/>
  <c r="U414" i="6"/>
  <c r="L415" i="6"/>
  <c r="O415" i="6" s="1"/>
  <c r="M415" i="6"/>
  <c r="P415" i="6" s="1"/>
  <c r="N415" i="6"/>
  <c r="L416" i="6"/>
  <c r="O416" i="6" s="1"/>
  <c r="M416" i="6"/>
  <c r="P416" i="6" s="1"/>
  <c r="N416" i="6"/>
  <c r="O417" i="6"/>
  <c r="P417" i="6"/>
  <c r="T417" i="6"/>
  <c r="U417" i="6"/>
  <c r="O418" i="6"/>
  <c r="P418" i="6"/>
  <c r="Q418" i="6"/>
  <c r="Q416" i="6" s="1"/>
  <c r="T416" i="6" s="1"/>
  <c r="R418" i="6"/>
  <c r="R416" i="6" s="1"/>
  <c r="U416" i="6" s="1"/>
  <c r="S418" i="6"/>
  <c r="S415" i="6" s="1"/>
  <c r="L419" i="6"/>
  <c r="O419" i="6" s="1"/>
  <c r="M419" i="6"/>
  <c r="N419" i="6"/>
  <c r="P419" i="6"/>
  <c r="Q419" i="6"/>
  <c r="T419" i="6" s="1"/>
  <c r="R419" i="6"/>
  <c r="U419" i="6" s="1"/>
  <c r="S419" i="6"/>
  <c r="O420" i="6"/>
  <c r="P420" i="6"/>
  <c r="T420" i="6"/>
  <c r="U420" i="6"/>
  <c r="O421" i="6"/>
  <c r="P421" i="6"/>
  <c r="T421" i="6"/>
  <c r="U421" i="6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K440" i="6" s="1"/>
  <c r="I441" i="6"/>
  <c r="K441" i="6" s="1"/>
  <c r="J446" i="6"/>
  <c r="J440" i="6" s="1"/>
  <c r="J423" i="6" s="1"/>
  <c r="J412" i="6" s="1"/>
  <c r="J447" i="6"/>
  <c r="J441" i="6" s="1"/>
  <c r="I457" i="6"/>
  <c r="I456" i="6" s="1"/>
  <c r="K456" i="6" s="1"/>
  <c r="I458" i="6"/>
  <c r="K458" i="6" s="1"/>
  <c r="J459" i="6"/>
  <c r="J460" i="6"/>
  <c r="J467" i="6"/>
  <c r="J468" i="6"/>
  <c r="J458" i="6" s="1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L493" i="6" s="1"/>
  <c r="O493" i="6" s="1"/>
  <c r="M494" i="6"/>
  <c r="P494" i="6" s="1"/>
  <c r="N494" i="6"/>
  <c r="N493" i="6" s="1"/>
  <c r="O494" i="6"/>
  <c r="Q494" i="6"/>
  <c r="T494" i="6" s="1"/>
  <c r="R494" i="6"/>
  <c r="S494" i="6"/>
  <c r="U494" i="6"/>
  <c r="L495" i="6"/>
  <c r="O495" i="6" s="1"/>
  <c r="M495" i="6"/>
  <c r="P495" i="6" s="1"/>
  <c r="N495" i="6"/>
  <c r="L496" i="6"/>
  <c r="O496" i="6" s="1"/>
  <c r="M496" i="6"/>
  <c r="P496" i="6" s="1"/>
  <c r="N496" i="6"/>
  <c r="O497" i="6"/>
  <c r="P497" i="6"/>
  <c r="T497" i="6"/>
  <c r="U497" i="6"/>
  <c r="O498" i="6"/>
  <c r="P498" i="6"/>
  <c r="Q498" i="6"/>
  <c r="T498" i="6" s="1"/>
  <c r="R498" i="6"/>
  <c r="S498" i="6"/>
  <c r="L499" i="6"/>
  <c r="M499" i="6"/>
  <c r="N499" i="6"/>
  <c r="O499" i="6"/>
  <c r="P499" i="6"/>
  <c r="Q499" i="6"/>
  <c r="R499" i="6"/>
  <c r="S499" i="6"/>
  <c r="T499" i="6"/>
  <c r="U499" i="6"/>
  <c r="O500" i="6"/>
  <c r="P500" i="6"/>
  <c r="T500" i="6"/>
  <c r="U500" i="6"/>
  <c r="O501" i="6"/>
  <c r="P501" i="6"/>
  <c r="T501" i="6"/>
  <c r="U501" i="6"/>
  <c r="I503" i="6"/>
  <c r="I492" i="6" s="1"/>
  <c r="K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L514" i="6"/>
  <c r="M514" i="6"/>
  <c r="N514" i="6"/>
  <c r="Q514" i="6"/>
  <c r="T514" i="6" s="1"/>
  <c r="R514" i="6"/>
  <c r="S514" i="6"/>
  <c r="Q515" i="6"/>
  <c r="T515" i="6" s="1"/>
  <c r="R515" i="6"/>
  <c r="S515" i="6"/>
  <c r="U515" i="6"/>
  <c r="Q516" i="6"/>
  <c r="T516" i="6" s="1"/>
  <c r="R516" i="6"/>
  <c r="S516" i="6"/>
  <c r="U516" i="6"/>
  <c r="O517" i="6"/>
  <c r="P517" i="6"/>
  <c r="T517" i="6"/>
  <c r="U517" i="6"/>
  <c r="L518" i="6"/>
  <c r="M518" i="6"/>
  <c r="N518" i="6"/>
  <c r="N516" i="6" s="1"/>
  <c r="T518" i="6"/>
  <c r="U518" i="6"/>
  <c r="Q519" i="6"/>
  <c r="R519" i="6"/>
  <c r="U519" i="6" s="1"/>
  <c r="S519" i="6"/>
  <c r="T519" i="6"/>
  <c r="O520" i="6"/>
  <c r="P520" i="6"/>
  <c r="T520" i="6"/>
  <c r="U520" i="6"/>
  <c r="L521" i="6"/>
  <c r="O521" i="6" s="1"/>
  <c r="M521" i="6"/>
  <c r="P521" i="6" s="1"/>
  <c r="N521" i="6"/>
  <c r="N519" i="6" s="1"/>
  <c r="T521" i="6"/>
  <c r="U521" i="6"/>
  <c r="K523" i="6"/>
  <c r="K524" i="6"/>
  <c r="I533" i="6"/>
  <c r="K533" i="6" s="1"/>
  <c r="J533" i="6"/>
  <c r="L534" i="6"/>
  <c r="O534" i="6" s="1"/>
  <c r="Q534" i="6"/>
  <c r="T534" i="6" s="1"/>
  <c r="L535" i="6"/>
  <c r="O535" i="6" s="1"/>
  <c r="M535" i="6"/>
  <c r="N535" i="6"/>
  <c r="Q535" i="6"/>
  <c r="R535" i="6"/>
  <c r="U535" i="6" s="1"/>
  <c r="S535" i="6"/>
  <c r="T535" i="6"/>
  <c r="L536" i="6"/>
  <c r="M536" i="6"/>
  <c r="P536" i="6" s="1"/>
  <c r="N536" i="6"/>
  <c r="O536" i="6"/>
  <c r="Q536" i="6"/>
  <c r="R536" i="6"/>
  <c r="U536" i="6" s="1"/>
  <c r="S536" i="6"/>
  <c r="T536" i="6"/>
  <c r="L537" i="6"/>
  <c r="O537" i="6" s="1"/>
  <c r="M537" i="6"/>
  <c r="N537" i="6"/>
  <c r="P537" i="6"/>
  <c r="Q537" i="6"/>
  <c r="T537" i="6" s="1"/>
  <c r="R537" i="6"/>
  <c r="S537" i="6"/>
  <c r="U537" i="6"/>
  <c r="O538" i="6"/>
  <c r="P538" i="6"/>
  <c r="T538" i="6"/>
  <c r="U538" i="6"/>
  <c r="O539" i="6"/>
  <c r="P539" i="6"/>
  <c r="T539" i="6"/>
  <c r="U539" i="6"/>
  <c r="L540" i="6"/>
  <c r="M540" i="6"/>
  <c r="P540" i="6" s="1"/>
  <c r="N540" i="6"/>
  <c r="O540" i="6"/>
  <c r="Q540" i="6"/>
  <c r="T540" i="6" s="1"/>
  <c r="R540" i="6"/>
  <c r="U540" i="6" s="1"/>
  <c r="S540" i="6"/>
  <c r="O541" i="6"/>
  <c r="P541" i="6"/>
  <c r="T541" i="6"/>
  <c r="U541" i="6"/>
  <c r="O542" i="6"/>
  <c r="P542" i="6"/>
  <c r="T542" i="6"/>
  <c r="U542" i="6"/>
  <c r="I554" i="6"/>
  <c r="K554" i="6" s="1"/>
  <c r="J554" i="6"/>
  <c r="L556" i="6"/>
  <c r="M556" i="6"/>
  <c r="P556" i="6" s="1"/>
  <c r="N556" i="6"/>
  <c r="Q556" i="6"/>
  <c r="R556" i="6"/>
  <c r="R555" i="6" s="1"/>
  <c r="U555" i="6" s="1"/>
  <c r="S556" i="6"/>
  <c r="L557" i="6"/>
  <c r="O557" i="6" s="1"/>
  <c r="M557" i="6"/>
  <c r="N557" i="6"/>
  <c r="N555" i="6" s="1"/>
  <c r="P557" i="6"/>
  <c r="Q557" i="6"/>
  <c r="T557" i="6" s="1"/>
  <c r="R557" i="6"/>
  <c r="U557" i="6" s="1"/>
  <c r="S557" i="6"/>
  <c r="S555" i="6" s="1"/>
  <c r="L558" i="6"/>
  <c r="O558" i="6" s="1"/>
  <c r="M558" i="6"/>
  <c r="P558" i="6" s="1"/>
  <c r="N558" i="6"/>
  <c r="Q558" i="6"/>
  <c r="R558" i="6"/>
  <c r="U558" i="6" s="1"/>
  <c r="S558" i="6"/>
  <c r="T558" i="6"/>
  <c r="O559" i="6"/>
  <c r="P559" i="6"/>
  <c r="T559" i="6"/>
  <c r="U559" i="6"/>
  <c r="O560" i="6"/>
  <c r="P560" i="6"/>
  <c r="T560" i="6"/>
  <c r="U560" i="6"/>
  <c r="L561" i="6"/>
  <c r="O561" i="6" s="1"/>
  <c r="M561" i="6"/>
  <c r="P561" i="6" s="1"/>
  <c r="N561" i="6"/>
  <c r="Q561" i="6"/>
  <c r="R561" i="6"/>
  <c r="U561" i="6" s="1"/>
  <c r="S561" i="6"/>
  <c r="T561" i="6"/>
  <c r="O562" i="6"/>
  <c r="P562" i="6"/>
  <c r="T562" i="6"/>
  <c r="U562" i="6"/>
  <c r="O563" i="6"/>
  <c r="P563" i="6"/>
  <c r="T563" i="6"/>
  <c r="U563" i="6"/>
  <c r="I575" i="6"/>
  <c r="K575" i="6" s="1"/>
  <c r="J575" i="6"/>
  <c r="L577" i="6"/>
  <c r="O577" i="6" s="1"/>
  <c r="M577" i="6"/>
  <c r="P577" i="6" s="1"/>
  <c r="N577" i="6"/>
  <c r="N576" i="6" s="1"/>
  <c r="Q577" i="6"/>
  <c r="R577" i="6"/>
  <c r="S577" i="6"/>
  <c r="S576" i="6" s="1"/>
  <c r="T577" i="6"/>
  <c r="U577" i="6"/>
  <c r="L578" i="6"/>
  <c r="O578" i="6" s="1"/>
  <c r="M578" i="6"/>
  <c r="N578" i="6"/>
  <c r="P578" i="6"/>
  <c r="Q578" i="6"/>
  <c r="Q576" i="6" s="1"/>
  <c r="T576" i="6" s="1"/>
  <c r="R578" i="6"/>
  <c r="U578" i="6" s="1"/>
  <c r="S578" i="6"/>
  <c r="L579" i="6"/>
  <c r="O579" i="6" s="1"/>
  <c r="M579" i="6"/>
  <c r="P579" i="6" s="1"/>
  <c r="N579" i="6"/>
  <c r="Q579" i="6"/>
  <c r="T579" i="6" s="1"/>
  <c r="R579" i="6"/>
  <c r="U579" i="6" s="1"/>
  <c r="S579" i="6"/>
  <c r="O580" i="6"/>
  <c r="P580" i="6"/>
  <c r="T580" i="6"/>
  <c r="U580" i="6"/>
  <c r="O581" i="6"/>
  <c r="P581" i="6"/>
  <c r="T581" i="6"/>
  <c r="U581" i="6"/>
  <c r="L582" i="6"/>
  <c r="O582" i="6" s="1"/>
  <c r="M582" i="6"/>
  <c r="P582" i="6" s="1"/>
  <c r="N582" i="6"/>
  <c r="Q582" i="6"/>
  <c r="T582" i="6" s="1"/>
  <c r="R582" i="6"/>
  <c r="U582" i="6" s="1"/>
  <c r="S582" i="6"/>
  <c r="O583" i="6"/>
  <c r="P583" i="6"/>
  <c r="T583" i="6"/>
  <c r="U583" i="6"/>
  <c r="O584" i="6"/>
  <c r="P584" i="6"/>
  <c r="T584" i="6"/>
  <c r="U584" i="6"/>
  <c r="L600" i="6"/>
  <c r="O600" i="6" s="1"/>
  <c r="M600" i="6"/>
  <c r="P600" i="6" s="1"/>
  <c r="N600" i="6"/>
  <c r="Q600" i="6"/>
  <c r="R600" i="6"/>
  <c r="U600" i="6" s="1"/>
  <c r="S600" i="6"/>
  <c r="T600" i="6"/>
  <c r="L601" i="6"/>
  <c r="M601" i="6"/>
  <c r="P601" i="6" s="1"/>
  <c r="N601" i="6"/>
  <c r="O601" i="6"/>
  <c r="Q601" i="6"/>
  <c r="R601" i="6"/>
  <c r="S601" i="6"/>
  <c r="T601" i="6"/>
  <c r="U601" i="6"/>
  <c r="L602" i="6"/>
  <c r="O602" i="6" s="1"/>
  <c r="M602" i="6"/>
  <c r="N602" i="6"/>
  <c r="P602" i="6"/>
  <c r="Q602" i="6"/>
  <c r="T602" i="6" s="1"/>
  <c r="R602" i="6"/>
  <c r="U602" i="6" s="1"/>
  <c r="S602" i="6"/>
  <c r="O603" i="6"/>
  <c r="P603" i="6"/>
  <c r="T603" i="6"/>
  <c r="U603" i="6"/>
  <c r="O604" i="6"/>
  <c r="P604" i="6"/>
  <c r="T604" i="6"/>
  <c r="U604" i="6"/>
  <c r="L605" i="6"/>
  <c r="O605" i="6" s="1"/>
  <c r="M605" i="6"/>
  <c r="P605" i="6" s="1"/>
  <c r="N605" i="6"/>
  <c r="Q605" i="6"/>
  <c r="T605" i="6" s="1"/>
  <c r="R605" i="6"/>
  <c r="U605" i="6" s="1"/>
  <c r="S605" i="6"/>
  <c r="O606" i="6"/>
  <c r="P606" i="6"/>
  <c r="T606" i="6"/>
  <c r="U606" i="6"/>
  <c r="O607" i="6"/>
  <c r="P607" i="6"/>
  <c r="T607" i="6"/>
  <c r="U607" i="6"/>
  <c r="L616" i="6"/>
  <c r="O616" i="6" s="1"/>
  <c r="L617" i="6"/>
  <c r="M617" i="6"/>
  <c r="P617" i="6" s="1"/>
  <c r="N617" i="6"/>
  <c r="N616" i="6" s="1"/>
  <c r="O617" i="6"/>
  <c r="Q617" i="6"/>
  <c r="T617" i="6" s="1"/>
  <c r="R617" i="6"/>
  <c r="S617" i="6"/>
  <c r="U617" i="6"/>
  <c r="L618" i="6"/>
  <c r="O618" i="6" s="1"/>
  <c r="M618" i="6"/>
  <c r="N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9" i="6" s="1"/>
  <c r="R621" i="6"/>
  <c r="R618" i="6" s="1"/>
  <c r="R616" i="6" s="1"/>
  <c r="S621" i="6"/>
  <c r="S618" i="6" s="1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K629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O643" i="6" s="1"/>
  <c r="M643" i="6"/>
  <c r="M642" i="6" s="1"/>
  <c r="P642" i="6" s="1"/>
  <c r="N643" i="6"/>
  <c r="P643" i="6"/>
  <c r="Q643" i="6"/>
  <c r="R643" i="6"/>
  <c r="U643" i="6" s="1"/>
  <c r="S643" i="6"/>
  <c r="T643" i="6"/>
  <c r="L644" i="6"/>
  <c r="O644" i="6" s="1"/>
  <c r="M644" i="6"/>
  <c r="N644" i="6"/>
  <c r="P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R647" i="6"/>
  <c r="R644" i="6" s="1"/>
  <c r="U644" i="6" s="1"/>
  <c r="S647" i="6"/>
  <c r="S644" i="6" s="1"/>
  <c r="S642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M690" i="6"/>
  <c r="P690" i="6" s="1"/>
  <c r="L691" i="6"/>
  <c r="M691" i="6"/>
  <c r="N691" i="6"/>
  <c r="O691" i="6"/>
  <c r="P691" i="6"/>
  <c r="Q691" i="6"/>
  <c r="T691" i="6" s="1"/>
  <c r="R691" i="6"/>
  <c r="S691" i="6"/>
  <c r="U691" i="6"/>
  <c r="L692" i="6"/>
  <c r="L690" i="6" s="1"/>
  <c r="O690" i="6" s="1"/>
  <c r="M692" i="6"/>
  <c r="P692" i="6" s="1"/>
  <c r="N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2" i="6" s="1"/>
  <c r="T692" i="6" s="1"/>
  <c r="R695" i="6"/>
  <c r="R692" i="6" s="1"/>
  <c r="U692" i="6" s="1"/>
  <c r="S695" i="6"/>
  <c r="S692" i="6" s="1"/>
  <c r="S690" i="6" s="1"/>
  <c r="L696" i="6"/>
  <c r="O696" i="6" s="1"/>
  <c r="M696" i="6"/>
  <c r="N696" i="6"/>
  <c r="P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K707" i="6" s="1"/>
  <c r="J707" i="6"/>
  <c r="J689" i="6" s="1"/>
  <c r="J708" i="6"/>
  <c r="K708" i="6"/>
  <c r="I709" i="6"/>
  <c r="K709" i="6" s="1"/>
  <c r="J709" i="6"/>
  <c r="J710" i="6"/>
  <c r="K710" i="6"/>
  <c r="J712" i="6"/>
  <c r="K712" i="6"/>
  <c r="L715" i="6"/>
  <c r="O715" i="6" s="1"/>
  <c r="M715" i="6"/>
  <c r="P715" i="6" s="1"/>
  <c r="N715" i="6"/>
  <c r="Q715" i="6"/>
  <c r="T715" i="6" s="1"/>
  <c r="R715" i="6"/>
  <c r="S715" i="6"/>
  <c r="U715" i="6"/>
  <c r="L716" i="6"/>
  <c r="M716" i="6"/>
  <c r="P716" i="6" s="1"/>
  <c r="N716" i="6"/>
  <c r="O716" i="6"/>
  <c r="Q716" i="6"/>
  <c r="R716" i="6"/>
  <c r="U716" i="6" s="1"/>
  <c r="S716" i="6"/>
  <c r="L717" i="6"/>
  <c r="O717" i="6" s="1"/>
  <c r="M717" i="6"/>
  <c r="P717" i="6" s="1"/>
  <c r="N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S720" i="6"/>
  <c r="U720" i="6"/>
  <c r="O721" i="6"/>
  <c r="P721" i="6"/>
  <c r="T721" i="6"/>
  <c r="U721" i="6"/>
  <c r="O722" i="6"/>
  <c r="P722" i="6"/>
  <c r="T722" i="6"/>
  <c r="U722" i="6"/>
  <c r="I726" i="6"/>
  <c r="J726" i="6"/>
  <c r="I727" i="6"/>
  <c r="K727" i="6" s="1"/>
  <c r="J727" i="6"/>
  <c r="L729" i="6"/>
  <c r="O729" i="6" s="1"/>
  <c r="M729" i="6"/>
  <c r="P729" i="6" s="1"/>
  <c r="N729" i="6"/>
  <c r="Q729" i="6"/>
  <c r="R729" i="6"/>
  <c r="S729" i="6"/>
  <c r="T729" i="6"/>
  <c r="U729" i="6"/>
  <c r="L730" i="6"/>
  <c r="O730" i="6" s="1"/>
  <c r="M730" i="6"/>
  <c r="N730" i="6"/>
  <c r="P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Q731" i="6" s="1"/>
  <c r="R733" i="6"/>
  <c r="R731" i="6" s="1"/>
  <c r="S733" i="6"/>
  <c r="S730" i="6" s="1"/>
  <c r="L734" i="6"/>
  <c r="O734" i="6" s="1"/>
  <c r="M734" i="6"/>
  <c r="P734" i="6" s="1"/>
  <c r="N734" i="6"/>
  <c r="Q734" i="6"/>
  <c r="R734" i="6"/>
  <c r="U734" i="6" s="1"/>
  <c r="S734" i="6"/>
  <c r="T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P761" i="6" s="1"/>
  <c r="N761" i="6"/>
  <c r="Q761" i="6"/>
  <c r="R761" i="6"/>
  <c r="S761" i="6"/>
  <c r="T761" i="6"/>
  <c r="L762" i="6"/>
  <c r="O762" i="6" s="1"/>
  <c r="M762" i="6"/>
  <c r="N762" i="6"/>
  <c r="N760" i="6" s="1"/>
  <c r="P762" i="6"/>
  <c r="L763" i="6"/>
  <c r="O763" i="6" s="1"/>
  <c r="M763" i="6"/>
  <c r="N763" i="6"/>
  <c r="P763" i="6"/>
  <c r="O764" i="6"/>
  <c r="P764" i="6"/>
  <c r="T764" i="6"/>
  <c r="U764" i="6"/>
  <c r="O765" i="6"/>
  <c r="P765" i="6"/>
  <c r="Q765" i="6"/>
  <c r="R765" i="6"/>
  <c r="U765" i="6" s="1"/>
  <c r="S765" i="6"/>
  <c r="S762" i="6" s="1"/>
  <c r="L766" i="6"/>
  <c r="M766" i="6"/>
  <c r="N766" i="6"/>
  <c r="O766" i="6"/>
  <c r="P766" i="6"/>
  <c r="Q766" i="6"/>
  <c r="R766" i="6"/>
  <c r="S766" i="6"/>
  <c r="T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N19" i="5" s="1"/>
  <c r="Q22" i="5"/>
  <c r="T22" i="5" s="1"/>
  <c r="R22" i="5"/>
  <c r="U22" i="5" s="1"/>
  <c r="S22" i="5"/>
  <c r="L25" i="5"/>
  <c r="O25" i="5" s="1"/>
  <c r="M25" i="5"/>
  <c r="N25" i="5"/>
  <c r="Q25" i="5"/>
  <c r="R25" i="5"/>
  <c r="U25" i="5" s="1"/>
  <c r="S25" i="5"/>
  <c r="S24" i="5" s="1"/>
  <c r="Q26" i="5"/>
  <c r="R26" i="5"/>
  <c r="S26" i="5"/>
  <c r="T26" i="5"/>
  <c r="U26" i="5"/>
  <c r="L45" i="5"/>
  <c r="O45" i="5" s="1"/>
  <c r="M45" i="5"/>
  <c r="P45" i="5" s="1"/>
  <c r="N45" i="5"/>
  <c r="Q45" i="5"/>
  <c r="R45" i="5"/>
  <c r="S45" i="5"/>
  <c r="Q46" i="5"/>
  <c r="R46" i="5"/>
  <c r="S46" i="5"/>
  <c r="S44" i="5" s="1"/>
  <c r="T46" i="5"/>
  <c r="U46" i="5"/>
  <c r="Q47" i="5"/>
  <c r="T47" i="5" s="1"/>
  <c r="R47" i="5"/>
  <c r="U47" i="5" s="1"/>
  <c r="S47" i="5"/>
  <c r="O48" i="5"/>
  <c r="P48" i="5"/>
  <c r="T48" i="5"/>
  <c r="U48" i="5"/>
  <c r="L49" i="5"/>
  <c r="M49" i="5"/>
  <c r="N49" i="5"/>
  <c r="N47" i="5" s="1"/>
  <c r="T49" i="5"/>
  <c r="U49" i="5"/>
  <c r="Q50" i="5"/>
  <c r="T50" i="5" s="1"/>
  <c r="R50" i="5"/>
  <c r="S50" i="5"/>
  <c r="U50" i="5"/>
  <c r="O51" i="5"/>
  <c r="P51" i="5"/>
  <c r="T51" i="5"/>
  <c r="U51" i="5"/>
  <c r="L52" i="5"/>
  <c r="O52" i="5" s="1"/>
  <c r="M52" i="5"/>
  <c r="N52" i="5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S59" i="5" s="1"/>
  <c r="Q62" i="5"/>
  <c r="T62" i="5" s="1"/>
  <c r="R62" i="5"/>
  <c r="U62" i="5" s="1"/>
  <c r="S62" i="5"/>
  <c r="O63" i="5"/>
  <c r="P63" i="5"/>
  <c r="T63" i="5"/>
  <c r="U63" i="5"/>
  <c r="L64" i="5"/>
  <c r="M64" i="5"/>
  <c r="N64" i="5"/>
  <c r="N62" i="5" s="1"/>
  <c r="T64" i="5"/>
  <c r="U64" i="5"/>
  <c r="Q65" i="5"/>
  <c r="R65" i="5"/>
  <c r="S65" i="5"/>
  <c r="T65" i="5"/>
  <c r="U65" i="5"/>
  <c r="O66" i="5"/>
  <c r="P66" i="5"/>
  <c r="T66" i="5"/>
  <c r="U66" i="5"/>
  <c r="L67" i="5"/>
  <c r="O67" i="5" s="1"/>
  <c r="M67" i="5"/>
  <c r="N67" i="5"/>
  <c r="N65" i="5" s="1"/>
  <c r="T67" i="5"/>
  <c r="U67" i="5"/>
  <c r="J71" i="5"/>
  <c r="L73" i="5"/>
  <c r="M73" i="5"/>
  <c r="P73" i="5" s="1"/>
  <c r="N73" i="5"/>
  <c r="Q73" i="5"/>
  <c r="R73" i="5"/>
  <c r="U73" i="5" s="1"/>
  <c r="S73" i="5"/>
  <c r="T73" i="5"/>
  <c r="O76" i="5"/>
  <c r="P76" i="5"/>
  <c r="T76" i="5"/>
  <c r="U76" i="5"/>
  <c r="L77" i="5"/>
  <c r="O77" i="5" s="1"/>
  <c r="M77" i="5"/>
  <c r="M75" i="5" s="1"/>
  <c r="P75" i="5" s="1"/>
  <c r="N77" i="5"/>
  <c r="N75" i="5" s="1"/>
  <c r="Q77" i="5"/>
  <c r="R77" i="5"/>
  <c r="R74" i="5" s="1"/>
  <c r="S77" i="5"/>
  <c r="S75" i="5" s="1"/>
  <c r="Q78" i="5"/>
  <c r="T78" i="5" s="1"/>
  <c r="R78" i="5"/>
  <c r="U78" i="5" s="1"/>
  <c r="S78" i="5"/>
  <c r="O79" i="5"/>
  <c r="P79" i="5"/>
  <c r="T79" i="5"/>
  <c r="U79" i="5"/>
  <c r="L80" i="5"/>
  <c r="O80" i="5" s="1"/>
  <c r="M80" i="5"/>
  <c r="M78" i="5" s="1"/>
  <c r="P78" i="5" s="1"/>
  <c r="N80" i="5"/>
  <c r="N78" i="5" s="1"/>
  <c r="T80" i="5"/>
  <c r="U80" i="5"/>
  <c r="J82" i="5"/>
  <c r="J70" i="5" s="1"/>
  <c r="J83" i="5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O95" i="5"/>
  <c r="Q95" i="5"/>
  <c r="T95" i="5" s="1"/>
  <c r="R95" i="5"/>
  <c r="U95" i="5" s="1"/>
  <c r="S95" i="5"/>
  <c r="O98" i="5"/>
  <c r="P98" i="5"/>
  <c r="T98" i="5"/>
  <c r="U98" i="5"/>
  <c r="L99" i="5"/>
  <c r="O99" i="5" s="1"/>
  <c r="M99" i="5"/>
  <c r="P99" i="5" s="1"/>
  <c r="N99" i="5"/>
  <c r="N97" i="5" s="1"/>
  <c r="Q99" i="5"/>
  <c r="R99" i="5"/>
  <c r="R96" i="5" s="1"/>
  <c r="U96" i="5" s="1"/>
  <c r="S99" i="5"/>
  <c r="S96" i="5" s="1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92" i="5" s="1"/>
  <c r="K92" i="5" s="1"/>
  <c r="I109" i="5"/>
  <c r="I114" i="5"/>
  <c r="K114" i="5" s="1"/>
  <c r="J116" i="5"/>
  <c r="L118" i="5"/>
  <c r="O118" i="5" s="1"/>
  <c r="M118" i="5"/>
  <c r="N118" i="5"/>
  <c r="Q118" i="5"/>
  <c r="T118" i="5" s="1"/>
  <c r="R118" i="5"/>
  <c r="S118" i="5"/>
  <c r="O121" i="5"/>
  <c r="P121" i="5"/>
  <c r="T121" i="5"/>
  <c r="U121" i="5"/>
  <c r="L122" i="5"/>
  <c r="M122" i="5"/>
  <c r="P122" i="5" s="1"/>
  <c r="N122" i="5"/>
  <c r="N120" i="5" s="1"/>
  <c r="Q122" i="5"/>
  <c r="R122" i="5"/>
  <c r="S122" i="5"/>
  <c r="S119" i="5" s="1"/>
  <c r="S117" i="5" s="1"/>
  <c r="Q123" i="5"/>
  <c r="T123" i="5" s="1"/>
  <c r="R123" i="5"/>
  <c r="U123" i="5" s="1"/>
  <c r="S123" i="5"/>
  <c r="O124" i="5"/>
  <c r="P124" i="5"/>
  <c r="T124" i="5"/>
  <c r="U124" i="5"/>
  <c r="L125" i="5"/>
  <c r="M125" i="5"/>
  <c r="N125" i="5"/>
  <c r="T125" i="5"/>
  <c r="U125" i="5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O140" i="5"/>
  <c r="Q140" i="5"/>
  <c r="T140" i="5" s="1"/>
  <c r="R140" i="5"/>
  <c r="S140" i="5"/>
  <c r="U140" i="5"/>
  <c r="O143" i="5"/>
  <c r="P143" i="5"/>
  <c r="T143" i="5"/>
  <c r="U143" i="5"/>
  <c r="L144" i="5"/>
  <c r="L142" i="5" s="1"/>
  <c r="M144" i="5"/>
  <c r="N144" i="5"/>
  <c r="Q144" i="5"/>
  <c r="Q141" i="5" s="1"/>
  <c r="T141" i="5" s="1"/>
  <c r="R144" i="5"/>
  <c r="R142" i="5" s="1"/>
  <c r="U142" i="5" s="1"/>
  <c r="S144" i="5"/>
  <c r="Q145" i="5"/>
  <c r="T145" i="5" s="1"/>
  <c r="R145" i="5"/>
  <c r="S145" i="5"/>
  <c r="U145" i="5"/>
  <c r="O146" i="5"/>
  <c r="P146" i="5"/>
  <c r="T146" i="5"/>
  <c r="U146" i="5"/>
  <c r="L147" i="5"/>
  <c r="M147" i="5"/>
  <c r="N147" i="5"/>
  <c r="N145" i="5" s="1"/>
  <c r="T147" i="5"/>
  <c r="U147" i="5"/>
  <c r="I150" i="5"/>
  <c r="K150" i="5" s="1"/>
  <c r="I151" i="5"/>
  <c r="K151" i="5" s="1"/>
  <c r="I152" i="5"/>
  <c r="I137" i="5" s="1"/>
  <c r="I153" i="5"/>
  <c r="K153" i="5" s="1"/>
  <c r="I154" i="5"/>
  <c r="J156" i="5"/>
  <c r="L158" i="5"/>
  <c r="M158" i="5"/>
  <c r="P158" i="5" s="1"/>
  <c r="N158" i="5"/>
  <c r="Q158" i="5"/>
  <c r="T158" i="5" s="1"/>
  <c r="R158" i="5"/>
  <c r="S158" i="5"/>
  <c r="O161" i="5"/>
  <c r="P161" i="5"/>
  <c r="T161" i="5"/>
  <c r="U161" i="5"/>
  <c r="L162" i="5"/>
  <c r="O162" i="5" s="1"/>
  <c r="M162" i="5"/>
  <c r="M160" i="5" s="1"/>
  <c r="P160" i="5" s="1"/>
  <c r="N162" i="5"/>
  <c r="Q162" i="5"/>
  <c r="R162" i="5"/>
  <c r="S162" i="5"/>
  <c r="S159" i="5" s="1"/>
  <c r="Q163" i="5"/>
  <c r="T163" i="5" s="1"/>
  <c r="R163" i="5"/>
  <c r="S163" i="5"/>
  <c r="U163" i="5"/>
  <c r="O164" i="5"/>
  <c r="P164" i="5"/>
  <c r="T164" i="5"/>
  <c r="U164" i="5"/>
  <c r="L165" i="5"/>
  <c r="L163" i="5" s="1"/>
  <c r="O163" i="5" s="1"/>
  <c r="M165" i="5"/>
  <c r="P165" i="5" s="1"/>
  <c r="N165" i="5"/>
  <c r="N163" i="5" s="1"/>
  <c r="T165" i="5"/>
  <c r="U165" i="5"/>
  <c r="I167" i="5"/>
  <c r="K167" i="5" s="1"/>
  <c r="I168" i="5"/>
  <c r="K168" i="5" s="1"/>
  <c r="I169" i="5"/>
  <c r="J172" i="5"/>
  <c r="L174" i="5"/>
  <c r="O174" i="5" s="1"/>
  <c r="M174" i="5"/>
  <c r="P174" i="5" s="1"/>
  <c r="N174" i="5"/>
  <c r="Q174" i="5"/>
  <c r="T174" i="5" s="1"/>
  <c r="R174" i="5"/>
  <c r="U174" i="5" s="1"/>
  <c r="S174" i="5"/>
  <c r="O177" i="5"/>
  <c r="P177" i="5"/>
  <c r="T177" i="5"/>
  <c r="U177" i="5"/>
  <c r="L178" i="5"/>
  <c r="M178" i="5"/>
  <c r="M176" i="5" s="1"/>
  <c r="N178" i="5"/>
  <c r="N176" i="5" s="1"/>
  <c r="Q178" i="5"/>
  <c r="Q175" i="5" s="1"/>
  <c r="R178" i="5"/>
  <c r="S178" i="5"/>
  <c r="Q179" i="5"/>
  <c r="T179" i="5" s="1"/>
  <c r="R179" i="5"/>
  <c r="S179" i="5"/>
  <c r="U179" i="5"/>
  <c r="O180" i="5"/>
  <c r="P180" i="5"/>
  <c r="T180" i="5"/>
  <c r="U180" i="5"/>
  <c r="L181" i="5"/>
  <c r="L179" i="5" s="1"/>
  <c r="O179" i="5" s="1"/>
  <c r="M181" i="5"/>
  <c r="N181" i="5"/>
  <c r="N179" i="5" s="1"/>
  <c r="T181" i="5"/>
  <c r="U181" i="5"/>
  <c r="I183" i="5"/>
  <c r="I172" i="5" s="1"/>
  <c r="K184" i="5"/>
  <c r="L187" i="5"/>
  <c r="O187" i="5" s="1"/>
  <c r="M187" i="5"/>
  <c r="N187" i="5"/>
  <c r="P187" i="5"/>
  <c r="Q187" i="5"/>
  <c r="T187" i="5" s="1"/>
  <c r="R187" i="5"/>
  <c r="U187" i="5" s="1"/>
  <c r="S187" i="5"/>
  <c r="O190" i="5"/>
  <c r="P190" i="5"/>
  <c r="T190" i="5"/>
  <c r="U190" i="5"/>
  <c r="L191" i="5"/>
  <c r="L189" i="5" s="1"/>
  <c r="M191" i="5"/>
  <c r="N191" i="5"/>
  <c r="N189" i="5" s="1"/>
  <c r="Q191" i="5"/>
  <c r="R191" i="5"/>
  <c r="S191" i="5"/>
  <c r="S188" i="5" s="1"/>
  <c r="S186" i="5" s="1"/>
  <c r="Q192" i="5"/>
  <c r="R192" i="5"/>
  <c r="U192" i="5" s="1"/>
  <c r="S192" i="5"/>
  <c r="T192" i="5"/>
  <c r="O193" i="5"/>
  <c r="P193" i="5"/>
  <c r="T193" i="5"/>
  <c r="U193" i="5"/>
  <c r="L194" i="5"/>
  <c r="M194" i="5"/>
  <c r="M192" i="5" s="1"/>
  <c r="P192" i="5" s="1"/>
  <c r="N194" i="5"/>
  <c r="N192" i="5" s="1"/>
  <c r="T194" i="5"/>
  <c r="U194" i="5"/>
  <c r="J195" i="5"/>
  <c r="L196" i="5"/>
  <c r="O196" i="5" s="1"/>
  <c r="P196" i="5"/>
  <c r="I198" i="5"/>
  <c r="I195" i="5" s="1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02" i="5" s="1"/>
  <c r="K202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N236" i="5"/>
  <c r="J238" i="5"/>
  <c r="J240" i="5"/>
  <c r="J241" i="5"/>
  <c r="J242" i="5"/>
  <c r="P243" i="5"/>
  <c r="L244" i="5"/>
  <c r="N244" i="5"/>
  <c r="N233" i="5" s="1"/>
  <c r="L245" i="5"/>
  <c r="N245" i="5"/>
  <c r="N234" i="5" s="1"/>
  <c r="L246" i="5"/>
  <c r="N246" i="5"/>
  <c r="N235" i="5" s="1"/>
  <c r="L247" i="5"/>
  <c r="I249" i="5"/>
  <c r="I242" i="5" s="1"/>
  <c r="I251" i="5"/>
  <c r="I240" i="5" s="1"/>
  <c r="K240" i="5" s="1"/>
  <c r="I252" i="5"/>
  <c r="I241" i="5" s="1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O267" i="5" s="1"/>
  <c r="M267" i="5"/>
  <c r="N267" i="5"/>
  <c r="P267" i="5"/>
  <c r="Q267" i="5"/>
  <c r="R267" i="5"/>
  <c r="U267" i="5" s="1"/>
  <c r="S267" i="5"/>
  <c r="O270" i="5"/>
  <c r="P270" i="5"/>
  <c r="T270" i="5"/>
  <c r="U270" i="5"/>
  <c r="L271" i="5"/>
  <c r="M271" i="5"/>
  <c r="N271" i="5"/>
  <c r="N269" i="5" s="1"/>
  <c r="Q271" i="5"/>
  <c r="Q268" i="5" s="1"/>
  <c r="R271" i="5"/>
  <c r="R268" i="5" s="1"/>
  <c r="S271" i="5"/>
  <c r="S268" i="5" s="1"/>
  <c r="Q272" i="5"/>
  <c r="T272" i="5" s="1"/>
  <c r="R272" i="5"/>
  <c r="U272" i="5" s="1"/>
  <c r="S272" i="5"/>
  <c r="O273" i="5"/>
  <c r="P273" i="5"/>
  <c r="T273" i="5"/>
  <c r="U273" i="5"/>
  <c r="L274" i="5"/>
  <c r="M274" i="5"/>
  <c r="N274" i="5"/>
  <c r="N272" i="5" s="1"/>
  <c r="T274" i="5"/>
  <c r="U274" i="5"/>
  <c r="I276" i="5"/>
  <c r="K276" i="5" s="1"/>
  <c r="J281" i="5"/>
  <c r="L283" i="5"/>
  <c r="M283" i="5"/>
  <c r="P283" i="5" s="1"/>
  <c r="N283" i="5"/>
  <c r="Q283" i="5"/>
  <c r="R283" i="5"/>
  <c r="S283" i="5"/>
  <c r="Q284" i="5"/>
  <c r="T284" i="5" s="1"/>
  <c r="R284" i="5"/>
  <c r="U284" i="5" s="1"/>
  <c r="S284" i="5"/>
  <c r="S282" i="5" s="1"/>
  <c r="Q285" i="5"/>
  <c r="T285" i="5" s="1"/>
  <c r="R285" i="5"/>
  <c r="U285" i="5" s="1"/>
  <c r="S285" i="5"/>
  <c r="O286" i="5"/>
  <c r="P286" i="5"/>
  <c r="T286" i="5"/>
  <c r="U286" i="5"/>
  <c r="L287" i="5"/>
  <c r="L285" i="5" s="1"/>
  <c r="O285" i="5" s="1"/>
  <c r="M287" i="5"/>
  <c r="N287" i="5"/>
  <c r="T287" i="5"/>
  <c r="U287" i="5"/>
  <c r="Q288" i="5"/>
  <c r="R288" i="5"/>
  <c r="S288" i="5"/>
  <c r="T288" i="5"/>
  <c r="U288" i="5"/>
  <c r="O289" i="5"/>
  <c r="P289" i="5"/>
  <c r="T289" i="5"/>
  <c r="U289" i="5"/>
  <c r="L290" i="5"/>
  <c r="M290" i="5"/>
  <c r="P290" i="5" s="1"/>
  <c r="N290" i="5"/>
  <c r="N288" i="5" s="1"/>
  <c r="T290" i="5"/>
  <c r="U290" i="5"/>
  <c r="I292" i="5"/>
  <c r="I293" i="5"/>
  <c r="J293" i="5"/>
  <c r="J280" i="5" s="1"/>
  <c r="I295" i="5"/>
  <c r="K295" i="5" s="1"/>
  <c r="I296" i="5"/>
  <c r="K296" i="5" s="1"/>
  <c r="J302" i="5"/>
  <c r="L304" i="5"/>
  <c r="O304" i="5" s="1"/>
  <c r="M304" i="5"/>
  <c r="N304" i="5"/>
  <c r="Q304" i="5"/>
  <c r="T304" i="5" s="1"/>
  <c r="R304" i="5"/>
  <c r="U304" i="5" s="1"/>
  <c r="S304" i="5"/>
  <c r="O307" i="5"/>
  <c r="P307" i="5"/>
  <c r="T307" i="5"/>
  <c r="U307" i="5"/>
  <c r="L308" i="5"/>
  <c r="O308" i="5" s="1"/>
  <c r="M308" i="5"/>
  <c r="N308" i="5"/>
  <c r="Q308" i="5"/>
  <c r="R308" i="5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M311" i="5"/>
  <c r="N311" i="5"/>
  <c r="N309" i="5" s="1"/>
  <c r="T311" i="5"/>
  <c r="U311" i="5"/>
  <c r="I314" i="5"/>
  <c r="K314" i="5" s="1"/>
  <c r="J319" i="5"/>
  <c r="S320" i="5"/>
  <c r="L321" i="5"/>
  <c r="O321" i="5" s="1"/>
  <c r="M321" i="5"/>
  <c r="N321" i="5"/>
  <c r="P321" i="5"/>
  <c r="Q321" i="5"/>
  <c r="T321" i="5" s="1"/>
  <c r="R321" i="5"/>
  <c r="S321" i="5"/>
  <c r="U321" i="5"/>
  <c r="Q322" i="5"/>
  <c r="T322" i="5" s="1"/>
  <c r="R322" i="5"/>
  <c r="U322" i="5" s="1"/>
  <c r="S322" i="5"/>
  <c r="Q323" i="5"/>
  <c r="T323" i="5" s="1"/>
  <c r="R323" i="5"/>
  <c r="U323" i="5" s="1"/>
  <c r="S323" i="5"/>
  <c r="O324" i="5"/>
  <c r="P324" i="5"/>
  <c r="T324" i="5"/>
  <c r="U324" i="5"/>
  <c r="L325" i="5"/>
  <c r="M325" i="5"/>
  <c r="N325" i="5"/>
  <c r="T325" i="5"/>
  <c r="U325" i="5"/>
  <c r="Q326" i="5"/>
  <c r="R326" i="5"/>
  <c r="U326" i="5" s="1"/>
  <c r="S326" i="5"/>
  <c r="T326" i="5"/>
  <c r="O327" i="5"/>
  <c r="P327" i="5"/>
  <c r="T327" i="5"/>
  <c r="U327" i="5"/>
  <c r="L328" i="5"/>
  <c r="L326" i="5" s="1"/>
  <c r="O326" i="5" s="1"/>
  <c r="M328" i="5"/>
  <c r="P328" i="5" s="1"/>
  <c r="N328" i="5"/>
  <c r="N326" i="5" s="1"/>
  <c r="T328" i="5"/>
  <c r="U328" i="5"/>
  <c r="I330" i="5"/>
  <c r="I319" i="5" s="1"/>
  <c r="K319" i="5" s="1"/>
  <c r="L334" i="5"/>
  <c r="M334" i="5"/>
  <c r="N334" i="5"/>
  <c r="P334" i="5"/>
  <c r="Q334" i="5"/>
  <c r="T334" i="5" s="1"/>
  <c r="R334" i="5"/>
  <c r="S334" i="5"/>
  <c r="Q335" i="5"/>
  <c r="R335" i="5"/>
  <c r="U335" i="5" s="1"/>
  <c r="S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D354" i="5"/>
  <c r="R356" i="5"/>
  <c r="U356" i="5" s="1"/>
  <c r="L357" i="5"/>
  <c r="O357" i="5" s="1"/>
  <c r="M357" i="5"/>
  <c r="N357" i="5"/>
  <c r="Q357" i="5"/>
  <c r="T357" i="5" s="1"/>
  <c r="R357" i="5"/>
  <c r="U357" i="5" s="1"/>
  <c r="S357" i="5"/>
  <c r="Q358" i="5"/>
  <c r="T358" i="5" s="1"/>
  <c r="R358" i="5"/>
  <c r="S358" i="5"/>
  <c r="U358" i="5"/>
  <c r="Q359" i="5"/>
  <c r="T359" i="5" s="1"/>
  <c r="R359" i="5"/>
  <c r="S359" i="5"/>
  <c r="U359" i="5"/>
  <c r="O360" i="5"/>
  <c r="P360" i="5"/>
  <c r="T360" i="5"/>
  <c r="U360" i="5"/>
  <c r="L361" i="5"/>
  <c r="M361" i="5"/>
  <c r="M359" i="5" s="1"/>
  <c r="N361" i="5"/>
  <c r="N359" i="5" s="1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O364" i="5" s="1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N376" i="5"/>
  <c r="N375" i="5" s="1"/>
  <c r="O376" i="5"/>
  <c r="Q376" i="5"/>
  <c r="T376" i="5" s="1"/>
  <c r="R376" i="5"/>
  <c r="S376" i="5"/>
  <c r="U376" i="5"/>
  <c r="L377" i="5"/>
  <c r="O377" i="5" s="1"/>
  <c r="M377" i="5"/>
  <c r="P377" i="5" s="1"/>
  <c r="N377" i="5"/>
  <c r="L378" i="5"/>
  <c r="O378" i="5" s="1"/>
  <c r="M378" i="5"/>
  <c r="P378" i="5" s="1"/>
  <c r="N378" i="5"/>
  <c r="O379" i="5"/>
  <c r="P379" i="5"/>
  <c r="T379" i="5"/>
  <c r="U379" i="5"/>
  <c r="O380" i="5"/>
  <c r="P380" i="5"/>
  <c r="Q380" i="5"/>
  <c r="Q377" i="5" s="1"/>
  <c r="R380" i="5"/>
  <c r="R378" i="5" s="1"/>
  <c r="U378" i="5" s="1"/>
  <c r="S380" i="5"/>
  <c r="S378" i="5" s="1"/>
  <c r="L381" i="5"/>
  <c r="O381" i="5" s="1"/>
  <c r="M381" i="5"/>
  <c r="P381" i="5" s="1"/>
  <c r="N381" i="5"/>
  <c r="Q381" i="5"/>
  <c r="T381" i="5" s="1"/>
  <c r="R381" i="5"/>
  <c r="U381" i="5" s="1"/>
  <c r="S381" i="5"/>
  <c r="O382" i="5"/>
  <c r="P382" i="5"/>
  <c r="T382" i="5"/>
  <c r="U382" i="5"/>
  <c r="O383" i="5"/>
  <c r="P383" i="5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M393" i="5"/>
  <c r="N393" i="5"/>
  <c r="N392" i="5" s="1"/>
  <c r="O393" i="5"/>
  <c r="Q393" i="5"/>
  <c r="R393" i="5"/>
  <c r="S393" i="5"/>
  <c r="U393" i="5"/>
  <c r="L394" i="5"/>
  <c r="O394" i="5" s="1"/>
  <c r="M394" i="5"/>
  <c r="P394" i="5" s="1"/>
  <c r="N394" i="5"/>
  <c r="Q394" i="5"/>
  <c r="R394" i="5"/>
  <c r="U394" i="5" s="1"/>
  <c r="S394" i="5"/>
  <c r="S392" i="5" s="1"/>
  <c r="T394" i="5"/>
  <c r="L395" i="5"/>
  <c r="M395" i="5"/>
  <c r="N395" i="5"/>
  <c r="O395" i="5"/>
  <c r="P395" i="5"/>
  <c r="Q395" i="5"/>
  <c r="T395" i="5" s="1"/>
  <c r="R395" i="5"/>
  <c r="S395" i="5"/>
  <c r="U395" i="5"/>
  <c r="O396" i="5"/>
  <c r="P396" i="5"/>
  <c r="T396" i="5"/>
  <c r="U396" i="5"/>
  <c r="O397" i="5"/>
  <c r="P397" i="5"/>
  <c r="T397" i="5"/>
  <c r="U397" i="5"/>
  <c r="L398" i="5"/>
  <c r="M398" i="5"/>
  <c r="N398" i="5"/>
  <c r="O398" i="5"/>
  <c r="P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N414" i="5"/>
  <c r="N413" i="5" s="1"/>
  <c r="Q414" i="5"/>
  <c r="R414" i="5"/>
  <c r="U414" i="5" s="1"/>
  <c r="S414" i="5"/>
  <c r="T414" i="5"/>
  <c r="L415" i="5"/>
  <c r="O415" i="5" s="1"/>
  <c r="M415" i="5"/>
  <c r="P415" i="5" s="1"/>
  <c r="N415" i="5"/>
  <c r="L416" i="5"/>
  <c r="O416" i="5" s="1"/>
  <c r="M416" i="5"/>
  <c r="P416" i="5" s="1"/>
  <c r="N416" i="5"/>
  <c r="O417" i="5"/>
  <c r="P417" i="5"/>
  <c r="T417" i="5"/>
  <c r="U417" i="5"/>
  <c r="O418" i="5"/>
  <c r="P418" i="5"/>
  <c r="Q418" i="5"/>
  <c r="Q416" i="5" s="1"/>
  <c r="T416" i="5" s="1"/>
  <c r="R418" i="5"/>
  <c r="S418" i="5"/>
  <c r="S415" i="5" s="1"/>
  <c r="L419" i="5"/>
  <c r="M419" i="5"/>
  <c r="P419" i="5" s="1"/>
  <c r="N419" i="5"/>
  <c r="O419" i="5"/>
  <c r="Q419" i="5"/>
  <c r="T419" i="5" s="1"/>
  <c r="R419" i="5"/>
  <c r="U419" i="5" s="1"/>
  <c r="S419" i="5"/>
  <c r="O420" i="5"/>
  <c r="P420" i="5"/>
  <c r="T420" i="5"/>
  <c r="U420" i="5"/>
  <c r="O421" i="5"/>
  <c r="P421" i="5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I441" i="5"/>
  <c r="K441" i="5" s="1"/>
  <c r="J446" i="5"/>
  <c r="J440" i="5" s="1"/>
  <c r="J423" i="5" s="1"/>
  <c r="J412" i="5" s="1"/>
  <c r="J447" i="5"/>
  <c r="J441" i="5" s="1"/>
  <c r="I457" i="5"/>
  <c r="K457" i="5" s="1"/>
  <c r="I458" i="5"/>
  <c r="K458" i="5" s="1"/>
  <c r="J459" i="5"/>
  <c r="J460" i="5"/>
  <c r="J458" i="5" s="1"/>
  <c r="J467" i="5"/>
  <c r="J468" i="5"/>
  <c r="J475" i="5"/>
  <c r="K475" i="5"/>
  <c r="J476" i="5"/>
  <c r="K476" i="5"/>
  <c r="J477" i="5"/>
  <c r="K477" i="5"/>
  <c r="J482" i="5"/>
  <c r="J483" i="5"/>
  <c r="I484" i="5"/>
  <c r="J484" i="5"/>
  <c r="K484" i="5"/>
  <c r="I485" i="5"/>
  <c r="J485" i="5"/>
  <c r="K485" i="5"/>
  <c r="L494" i="5"/>
  <c r="M494" i="5"/>
  <c r="N494" i="5"/>
  <c r="P494" i="5"/>
  <c r="Q494" i="5"/>
  <c r="R494" i="5"/>
  <c r="S494" i="5"/>
  <c r="T494" i="5"/>
  <c r="L495" i="5"/>
  <c r="O495" i="5" s="1"/>
  <c r="M495" i="5"/>
  <c r="P495" i="5" s="1"/>
  <c r="N495" i="5"/>
  <c r="L496" i="5"/>
  <c r="O496" i="5" s="1"/>
  <c r="M496" i="5"/>
  <c r="N496" i="5"/>
  <c r="P496" i="5"/>
  <c r="O497" i="5"/>
  <c r="P497" i="5"/>
  <c r="T497" i="5"/>
  <c r="U497" i="5"/>
  <c r="O498" i="5"/>
  <c r="P498" i="5"/>
  <c r="Q498" i="5"/>
  <c r="Q496" i="5" s="1"/>
  <c r="T496" i="5" s="1"/>
  <c r="R498" i="5"/>
  <c r="U498" i="5" s="1"/>
  <c r="S498" i="5"/>
  <c r="S495" i="5" s="1"/>
  <c r="L499" i="5"/>
  <c r="M499" i="5"/>
  <c r="P499" i="5" s="1"/>
  <c r="N499" i="5"/>
  <c r="O499" i="5"/>
  <c r="Q499" i="5"/>
  <c r="T499" i="5" s="1"/>
  <c r="R499" i="5"/>
  <c r="U499" i="5" s="1"/>
  <c r="S499" i="5"/>
  <c r="O500" i="5"/>
  <c r="P500" i="5"/>
  <c r="T500" i="5"/>
  <c r="U500" i="5"/>
  <c r="O501" i="5"/>
  <c r="P501" i="5"/>
  <c r="T501" i="5"/>
  <c r="U501" i="5"/>
  <c r="I503" i="5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O514" i="5" s="1"/>
  <c r="M514" i="5"/>
  <c r="P514" i="5" s="1"/>
  <c r="N514" i="5"/>
  <c r="Q514" i="5"/>
  <c r="R514" i="5"/>
  <c r="U514" i="5" s="1"/>
  <c r="S514" i="5"/>
  <c r="S513" i="5" s="1"/>
  <c r="Q515" i="5"/>
  <c r="T515" i="5" s="1"/>
  <c r="R515" i="5"/>
  <c r="U515" i="5" s="1"/>
  <c r="S515" i="5"/>
  <c r="Q516" i="5"/>
  <c r="T516" i="5" s="1"/>
  <c r="R516" i="5"/>
  <c r="S516" i="5"/>
  <c r="U516" i="5"/>
  <c r="O517" i="5"/>
  <c r="P517" i="5"/>
  <c r="T517" i="5"/>
  <c r="U517" i="5"/>
  <c r="L518" i="5"/>
  <c r="O518" i="5" s="1"/>
  <c r="M518" i="5"/>
  <c r="M516" i="5" s="1"/>
  <c r="P516" i="5" s="1"/>
  <c r="N518" i="5"/>
  <c r="T518" i="5"/>
  <c r="U518" i="5"/>
  <c r="Q519" i="5"/>
  <c r="T519" i="5" s="1"/>
  <c r="R519" i="5"/>
  <c r="S519" i="5"/>
  <c r="U519" i="5"/>
  <c r="O520" i="5"/>
  <c r="P520" i="5"/>
  <c r="T520" i="5"/>
  <c r="U520" i="5"/>
  <c r="L521" i="5"/>
  <c r="L519" i="5" s="1"/>
  <c r="O519" i="5" s="1"/>
  <c r="M521" i="5"/>
  <c r="M519" i="5" s="1"/>
  <c r="P519" i="5" s="1"/>
  <c r="N521" i="5"/>
  <c r="N519" i="5" s="1"/>
  <c r="T521" i="5"/>
  <c r="U521" i="5"/>
  <c r="K523" i="5"/>
  <c r="K524" i="5"/>
  <c r="I533" i="5"/>
  <c r="K533" i="5" s="1"/>
  <c r="J533" i="5"/>
  <c r="L535" i="5"/>
  <c r="M535" i="5"/>
  <c r="P535" i="5" s="1"/>
  <c r="N535" i="5"/>
  <c r="Q535" i="5"/>
  <c r="R535" i="5"/>
  <c r="R534" i="5" s="1"/>
  <c r="U534" i="5" s="1"/>
  <c r="S535" i="5"/>
  <c r="L536" i="5"/>
  <c r="M536" i="5"/>
  <c r="P536" i="5" s="1"/>
  <c r="N536" i="5"/>
  <c r="O536" i="5"/>
  <c r="Q536" i="5"/>
  <c r="T536" i="5" s="1"/>
  <c r="R536" i="5"/>
  <c r="S536" i="5"/>
  <c r="U536" i="5"/>
  <c r="L537" i="5"/>
  <c r="M537" i="5"/>
  <c r="P537" i="5" s="1"/>
  <c r="N537" i="5"/>
  <c r="O537" i="5"/>
  <c r="Q537" i="5"/>
  <c r="T537" i="5" s="1"/>
  <c r="R537" i="5"/>
  <c r="S537" i="5"/>
  <c r="U537" i="5"/>
  <c r="O538" i="5"/>
  <c r="P538" i="5"/>
  <c r="T538" i="5"/>
  <c r="U538" i="5"/>
  <c r="O539" i="5"/>
  <c r="P539" i="5"/>
  <c r="T539" i="5"/>
  <c r="U539" i="5"/>
  <c r="L540" i="5"/>
  <c r="M540" i="5"/>
  <c r="P540" i="5" s="1"/>
  <c r="N540" i="5"/>
  <c r="O540" i="5"/>
  <c r="Q540" i="5"/>
  <c r="T540" i="5" s="1"/>
  <c r="R540" i="5"/>
  <c r="S540" i="5"/>
  <c r="U540" i="5"/>
  <c r="O541" i="5"/>
  <c r="P541" i="5"/>
  <c r="T541" i="5"/>
  <c r="U541" i="5"/>
  <c r="O542" i="5"/>
  <c r="P542" i="5"/>
  <c r="T542" i="5"/>
  <c r="U542" i="5"/>
  <c r="I554" i="5"/>
  <c r="K554" i="5" s="1"/>
  <c r="J554" i="5"/>
  <c r="L555" i="5"/>
  <c r="O555" i="5" s="1"/>
  <c r="L556" i="5"/>
  <c r="O556" i="5" s="1"/>
  <c r="M556" i="5"/>
  <c r="N556" i="5"/>
  <c r="P556" i="5"/>
  <c r="Q556" i="5"/>
  <c r="R556" i="5"/>
  <c r="U556" i="5" s="1"/>
  <c r="S556" i="5"/>
  <c r="S555" i="5" s="1"/>
  <c r="T556" i="5"/>
  <c r="L557" i="5"/>
  <c r="O557" i="5" s="1"/>
  <c r="M557" i="5"/>
  <c r="P557" i="5" s="1"/>
  <c r="N557" i="5"/>
  <c r="Q557" i="5"/>
  <c r="T557" i="5" s="1"/>
  <c r="R557" i="5"/>
  <c r="U557" i="5" s="1"/>
  <c r="S557" i="5"/>
  <c r="L558" i="5"/>
  <c r="O558" i="5" s="1"/>
  <c r="M558" i="5"/>
  <c r="P558" i="5" s="1"/>
  <c r="N558" i="5"/>
  <c r="Q558" i="5"/>
  <c r="R558" i="5"/>
  <c r="U558" i="5" s="1"/>
  <c r="S558" i="5"/>
  <c r="T558" i="5"/>
  <c r="O559" i="5"/>
  <c r="P559" i="5"/>
  <c r="T559" i="5"/>
  <c r="U559" i="5"/>
  <c r="O560" i="5"/>
  <c r="P560" i="5"/>
  <c r="T560" i="5"/>
  <c r="U560" i="5"/>
  <c r="L561" i="5"/>
  <c r="O561" i="5" s="1"/>
  <c r="M561" i="5"/>
  <c r="N561" i="5"/>
  <c r="P561" i="5"/>
  <c r="Q561" i="5"/>
  <c r="R561" i="5"/>
  <c r="U561" i="5" s="1"/>
  <c r="S561" i="5"/>
  <c r="T561" i="5"/>
  <c r="O562" i="5"/>
  <c r="P562" i="5"/>
  <c r="T562" i="5"/>
  <c r="U562" i="5"/>
  <c r="O563" i="5"/>
  <c r="P563" i="5"/>
  <c r="T563" i="5"/>
  <c r="U563" i="5"/>
  <c r="I575" i="5"/>
  <c r="K575" i="5" s="1"/>
  <c r="J575" i="5"/>
  <c r="S576" i="5"/>
  <c r="L577" i="5"/>
  <c r="M577" i="5"/>
  <c r="P577" i="5" s="1"/>
  <c r="N577" i="5"/>
  <c r="O577" i="5"/>
  <c r="Q577" i="5"/>
  <c r="R577" i="5"/>
  <c r="S577" i="5"/>
  <c r="U577" i="5"/>
  <c r="L578" i="5"/>
  <c r="M578" i="5"/>
  <c r="P578" i="5" s="1"/>
  <c r="N578" i="5"/>
  <c r="O578" i="5"/>
  <c r="Q578" i="5"/>
  <c r="R578" i="5"/>
  <c r="U578" i="5" s="1"/>
  <c r="S578" i="5"/>
  <c r="T578" i="5"/>
  <c r="L579" i="5"/>
  <c r="O579" i="5" s="1"/>
  <c r="M579" i="5"/>
  <c r="N579" i="5"/>
  <c r="P579" i="5"/>
  <c r="Q579" i="5"/>
  <c r="T579" i="5" s="1"/>
  <c r="R579" i="5"/>
  <c r="S579" i="5"/>
  <c r="U579" i="5"/>
  <c r="O580" i="5"/>
  <c r="P580" i="5"/>
  <c r="T580" i="5"/>
  <c r="U580" i="5"/>
  <c r="O581" i="5"/>
  <c r="P581" i="5"/>
  <c r="T581" i="5"/>
  <c r="U581" i="5"/>
  <c r="L582" i="5"/>
  <c r="M582" i="5"/>
  <c r="P582" i="5" s="1"/>
  <c r="N582" i="5"/>
  <c r="O582" i="5"/>
  <c r="Q582" i="5"/>
  <c r="T582" i="5" s="1"/>
  <c r="R582" i="5"/>
  <c r="S582" i="5"/>
  <c r="U582" i="5"/>
  <c r="O583" i="5"/>
  <c r="P583" i="5"/>
  <c r="T583" i="5"/>
  <c r="U583" i="5"/>
  <c r="O584" i="5"/>
  <c r="P584" i="5"/>
  <c r="T584" i="5"/>
  <c r="U584" i="5"/>
  <c r="L600" i="5"/>
  <c r="L599" i="5" s="1"/>
  <c r="O599" i="5" s="1"/>
  <c r="M600" i="5"/>
  <c r="N600" i="5"/>
  <c r="Q600" i="5"/>
  <c r="R600" i="5"/>
  <c r="S600" i="5"/>
  <c r="U600" i="5"/>
  <c r="L601" i="5"/>
  <c r="M601" i="5"/>
  <c r="P601" i="5" s="1"/>
  <c r="N601" i="5"/>
  <c r="O601" i="5"/>
  <c r="Q601" i="5"/>
  <c r="T601" i="5" s="1"/>
  <c r="R601" i="5"/>
  <c r="U601" i="5" s="1"/>
  <c r="S601" i="5"/>
  <c r="L602" i="5"/>
  <c r="M602" i="5"/>
  <c r="P602" i="5" s="1"/>
  <c r="N602" i="5"/>
  <c r="O602" i="5"/>
  <c r="Q602" i="5"/>
  <c r="T602" i="5" s="1"/>
  <c r="R602" i="5"/>
  <c r="S602" i="5"/>
  <c r="U602" i="5"/>
  <c r="O603" i="5"/>
  <c r="P603" i="5"/>
  <c r="T603" i="5"/>
  <c r="U603" i="5"/>
  <c r="O604" i="5"/>
  <c r="P604" i="5"/>
  <c r="T604" i="5"/>
  <c r="U604" i="5"/>
  <c r="L605" i="5"/>
  <c r="M605" i="5"/>
  <c r="N605" i="5"/>
  <c r="O605" i="5"/>
  <c r="P605" i="5"/>
  <c r="Q605" i="5"/>
  <c r="T605" i="5" s="1"/>
  <c r="R605" i="5"/>
  <c r="S605" i="5"/>
  <c r="U605" i="5"/>
  <c r="O606" i="5"/>
  <c r="P606" i="5"/>
  <c r="T606" i="5"/>
  <c r="U606" i="5"/>
  <c r="O607" i="5"/>
  <c r="P607" i="5"/>
  <c r="T607" i="5"/>
  <c r="U607" i="5"/>
  <c r="L617" i="5"/>
  <c r="M617" i="5"/>
  <c r="M616" i="5" s="1"/>
  <c r="P616" i="5" s="1"/>
  <c r="N617" i="5"/>
  <c r="N616" i="5" s="1"/>
  <c r="P617" i="5"/>
  <c r="Q617" i="5"/>
  <c r="T617" i="5" s="1"/>
  <c r="R617" i="5"/>
  <c r="S617" i="5"/>
  <c r="U617" i="5"/>
  <c r="L618" i="5"/>
  <c r="O618" i="5" s="1"/>
  <c r="M618" i="5"/>
  <c r="P618" i="5" s="1"/>
  <c r="N618" i="5"/>
  <c r="L619" i="5"/>
  <c r="O619" i="5" s="1"/>
  <c r="M619" i="5"/>
  <c r="N619" i="5"/>
  <c r="P619" i="5"/>
  <c r="O620" i="5"/>
  <c r="P620" i="5"/>
  <c r="T620" i="5"/>
  <c r="U620" i="5"/>
  <c r="O621" i="5"/>
  <c r="P621" i="5"/>
  <c r="Q621" i="5"/>
  <c r="Q619" i="5" s="1"/>
  <c r="R621" i="5"/>
  <c r="R618" i="5" s="1"/>
  <c r="S621" i="5"/>
  <c r="L622" i="5"/>
  <c r="M622" i="5"/>
  <c r="N622" i="5"/>
  <c r="O622" i="5"/>
  <c r="P622" i="5"/>
  <c r="Q622" i="5"/>
  <c r="T622" i="5" s="1"/>
  <c r="R622" i="5"/>
  <c r="S622" i="5"/>
  <c r="U622" i="5"/>
  <c r="O623" i="5"/>
  <c r="P623" i="5"/>
  <c r="T623" i="5"/>
  <c r="U623" i="5"/>
  <c r="O624" i="5"/>
  <c r="P624" i="5"/>
  <c r="T624" i="5"/>
  <c r="U624" i="5"/>
  <c r="I626" i="5"/>
  <c r="K631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M642" i="5" s="1"/>
  <c r="P642" i="5" s="1"/>
  <c r="N643" i="5"/>
  <c r="N642" i="5" s="1"/>
  <c r="O643" i="5"/>
  <c r="Q643" i="5"/>
  <c r="R643" i="5"/>
  <c r="S643" i="5"/>
  <c r="U643" i="5"/>
  <c r="L644" i="5"/>
  <c r="L642" i="5" s="1"/>
  <c r="O642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T647" i="5" s="1"/>
  <c r="R647" i="5"/>
  <c r="R645" i="5" s="1"/>
  <c r="U645" i="5" s="1"/>
  <c r="S647" i="5"/>
  <c r="S645" i="5" s="1"/>
  <c r="L648" i="5"/>
  <c r="M648" i="5"/>
  <c r="N648" i="5"/>
  <c r="O648" i="5"/>
  <c r="P648" i="5"/>
  <c r="Q648" i="5"/>
  <c r="T648" i="5" s="1"/>
  <c r="R648" i="5"/>
  <c r="S648" i="5"/>
  <c r="U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0" i="5"/>
  <c r="O690" i="5" s="1"/>
  <c r="L691" i="5"/>
  <c r="M691" i="5"/>
  <c r="N691" i="5"/>
  <c r="O691" i="5"/>
  <c r="Q691" i="5"/>
  <c r="R691" i="5"/>
  <c r="U691" i="5" s="1"/>
  <c r="S691" i="5"/>
  <c r="L692" i="5"/>
  <c r="M692" i="5"/>
  <c r="P692" i="5" s="1"/>
  <c r="N692" i="5"/>
  <c r="O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2" i="5" s="1"/>
  <c r="R695" i="5"/>
  <c r="S695" i="5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I689" i="5" s="1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P715" i="5" s="1"/>
  <c r="N715" i="5"/>
  <c r="O715" i="5"/>
  <c r="Q715" i="5"/>
  <c r="Q714" i="5" s="1"/>
  <c r="T714" i="5" s="1"/>
  <c r="R715" i="5"/>
  <c r="U715" i="5" s="1"/>
  <c r="S715" i="5"/>
  <c r="L716" i="5"/>
  <c r="L714" i="5" s="1"/>
  <c r="O714" i="5" s="1"/>
  <c r="M716" i="5"/>
  <c r="N716" i="5"/>
  <c r="Q716" i="5"/>
  <c r="T716" i="5" s="1"/>
  <c r="R716" i="5"/>
  <c r="S716" i="5"/>
  <c r="S714" i="5" s="1"/>
  <c r="U716" i="5"/>
  <c r="L717" i="5"/>
  <c r="M717" i="5"/>
  <c r="P717" i="5" s="1"/>
  <c r="N717" i="5"/>
  <c r="O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S720" i="5"/>
  <c r="U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J727" i="5"/>
  <c r="L728" i="5"/>
  <c r="O728" i="5" s="1"/>
  <c r="L729" i="5"/>
  <c r="M729" i="5"/>
  <c r="P729" i="5" s="1"/>
  <c r="N729" i="5"/>
  <c r="O729" i="5"/>
  <c r="Q729" i="5"/>
  <c r="T729" i="5" s="1"/>
  <c r="R729" i="5"/>
  <c r="U729" i="5" s="1"/>
  <c r="S729" i="5"/>
  <c r="L730" i="5"/>
  <c r="M730" i="5"/>
  <c r="P730" i="5" s="1"/>
  <c r="N730" i="5"/>
  <c r="O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Q731" i="5" s="1"/>
  <c r="R733" i="5"/>
  <c r="S733" i="5"/>
  <c r="L734" i="5"/>
  <c r="M734" i="5"/>
  <c r="N734" i="5"/>
  <c r="O734" i="5"/>
  <c r="P734" i="5"/>
  <c r="Q734" i="5"/>
  <c r="T734" i="5" s="1"/>
  <c r="R734" i="5"/>
  <c r="S734" i="5"/>
  <c r="U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L760" i="5" s="1"/>
  <c r="O760" i="5" s="1"/>
  <c r="M761" i="5"/>
  <c r="P761" i="5" s="1"/>
  <c r="N761" i="5"/>
  <c r="N760" i="5" s="1"/>
  <c r="Q761" i="5"/>
  <c r="R761" i="5"/>
  <c r="S761" i="5"/>
  <c r="T761" i="5"/>
  <c r="U761" i="5"/>
  <c r="L762" i="5"/>
  <c r="M762" i="5"/>
  <c r="N762" i="5"/>
  <c r="O762" i="5"/>
  <c r="P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2" i="5" s="1"/>
  <c r="R765" i="5"/>
  <c r="S765" i="5"/>
  <c r="S762" i="5" s="1"/>
  <c r="L766" i="5"/>
  <c r="M766" i="5"/>
  <c r="P766" i="5" s="1"/>
  <c r="N766" i="5"/>
  <c r="O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I758" i="5" s="1"/>
  <c r="K758" i="5" s="1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L19" i="4" s="1"/>
  <c r="M22" i="4"/>
  <c r="M19" i="4" s="1"/>
  <c r="N22" i="4"/>
  <c r="Q22" i="4"/>
  <c r="R22" i="4"/>
  <c r="S22" i="4"/>
  <c r="T22" i="4"/>
  <c r="Q24" i="4"/>
  <c r="T24" i="4" s="1"/>
  <c r="L25" i="4"/>
  <c r="M25" i="4"/>
  <c r="N25" i="4"/>
  <c r="Q25" i="4"/>
  <c r="R25" i="4"/>
  <c r="S25" i="4"/>
  <c r="S24" i="4" s="1"/>
  <c r="T25" i="4"/>
  <c r="Q26" i="4"/>
  <c r="R26" i="4"/>
  <c r="U26" i="4" s="1"/>
  <c r="S26" i="4"/>
  <c r="T26" i="4"/>
  <c r="L45" i="4"/>
  <c r="O45" i="4" s="1"/>
  <c r="M45" i="4"/>
  <c r="N45" i="4"/>
  <c r="Q45" i="4"/>
  <c r="T45" i="4" s="1"/>
  <c r="R45" i="4"/>
  <c r="R44" i="4" s="1"/>
  <c r="U44" i="4" s="1"/>
  <c r="S45" i="4"/>
  <c r="S44" i="4" s="1"/>
  <c r="U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N49" i="4"/>
  <c r="N47" i="4" s="1"/>
  <c r="T49" i="4"/>
  <c r="U49" i="4"/>
  <c r="Q50" i="4"/>
  <c r="R50" i="4"/>
  <c r="U50" i="4" s="1"/>
  <c r="S50" i="4"/>
  <c r="T50" i="4"/>
  <c r="O51" i="4"/>
  <c r="P51" i="4"/>
  <c r="T51" i="4"/>
  <c r="U51" i="4"/>
  <c r="L52" i="4"/>
  <c r="M52" i="4"/>
  <c r="N52" i="4"/>
  <c r="N50" i="4" s="1"/>
  <c r="T52" i="4"/>
  <c r="U52" i="4"/>
  <c r="L60" i="4"/>
  <c r="M60" i="4"/>
  <c r="N60" i="4"/>
  <c r="O60" i="4"/>
  <c r="Q60" i="4"/>
  <c r="Q59" i="4" s="1"/>
  <c r="T59" i="4" s="1"/>
  <c r="R60" i="4"/>
  <c r="U60" i="4" s="1"/>
  <c r="S60" i="4"/>
  <c r="T60" i="4"/>
  <c r="Q61" i="4"/>
  <c r="T61" i="4" s="1"/>
  <c r="R61" i="4"/>
  <c r="U61" i="4" s="1"/>
  <c r="S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T64" i="4"/>
  <c r="U64" i="4"/>
  <c r="Q65" i="4"/>
  <c r="T65" i="4" s="1"/>
  <c r="R65" i="4"/>
  <c r="S65" i="4"/>
  <c r="U65" i="4"/>
  <c r="O66" i="4"/>
  <c r="P66" i="4"/>
  <c r="T66" i="4"/>
  <c r="U66" i="4"/>
  <c r="L67" i="4"/>
  <c r="M67" i="4"/>
  <c r="N67" i="4"/>
  <c r="N65" i="4" s="1"/>
  <c r="T67" i="4"/>
  <c r="U67" i="4"/>
  <c r="L73" i="4"/>
  <c r="M73" i="4"/>
  <c r="N73" i="4"/>
  <c r="O73" i="4"/>
  <c r="Q73" i="4"/>
  <c r="R73" i="4"/>
  <c r="U73" i="4" s="1"/>
  <c r="S73" i="4"/>
  <c r="T73" i="4"/>
  <c r="O76" i="4"/>
  <c r="P76" i="4"/>
  <c r="T76" i="4"/>
  <c r="U76" i="4"/>
  <c r="L77" i="4"/>
  <c r="L75" i="4" s="1"/>
  <c r="O75" i="4" s="1"/>
  <c r="M77" i="4"/>
  <c r="M75" i="4" s="1"/>
  <c r="P75" i="4" s="1"/>
  <c r="N77" i="4"/>
  <c r="Q77" i="4"/>
  <c r="Q74" i="4" s="1"/>
  <c r="T74" i="4" s="1"/>
  <c r="R77" i="4"/>
  <c r="R74" i="4" s="1"/>
  <c r="U74" i="4" s="1"/>
  <c r="S77" i="4"/>
  <c r="S74" i="4" s="1"/>
  <c r="Q78" i="4"/>
  <c r="T78" i="4" s="1"/>
  <c r="R78" i="4"/>
  <c r="U78" i="4" s="1"/>
  <c r="S78" i="4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T80" i="4"/>
  <c r="U80" i="4"/>
  <c r="J82" i="4"/>
  <c r="J70" i="4" s="1"/>
  <c r="J83" i="4"/>
  <c r="J71" i="4" s="1"/>
  <c r="I84" i="4"/>
  <c r="K84" i="4" s="1"/>
  <c r="I85" i="4"/>
  <c r="K85" i="4" s="1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O95" i="4"/>
  <c r="Q95" i="4"/>
  <c r="T95" i="4" s="1"/>
  <c r="R95" i="4"/>
  <c r="S95" i="4"/>
  <c r="U95" i="4"/>
  <c r="O98" i="4"/>
  <c r="P98" i="4"/>
  <c r="T98" i="4"/>
  <c r="U98" i="4"/>
  <c r="L99" i="4"/>
  <c r="M99" i="4"/>
  <c r="N99" i="4"/>
  <c r="N97" i="4" s="1"/>
  <c r="Q99" i="4"/>
  <c r="R99" i="4"/>
  <c r="R96" i="4" s="1"/>
  <c r="U96" i="4" s="1"/>
  <c r="S99" i="4"/>
  <c r="Q100" i="4"/>
  <c r="T100" i="4" s="1"/>
  <c r="R100" i="4"/>
  <c r="U100" i="4" s="1"/>
  <c r="S100" i="4"/>
  <c r="O101" i="4"/>
  <c r="P101" i="4"/>
  <c r="T101" i="4"/>
  <c r="U101" i="4"/>
  <c r="L102" i="4"/>
  <c r="M102" i="4"/>
  <c r="P102" i="4" s="1"/>
  <c r="N102" i="4"/>
  <c r="N100" i="4" s="1"/>
  <c r="T102" i="4"/>
  <c r="U102" i="4"/>
  <c r="I108" i="4"/>
  <c r="I109" i="4"/>
  <c r="I93" i="4" s="1"/>
  <c r="K93" i="4" s="1"/>
  <c r="I114" i="4"/>
  <c r="K114" i="4" s="1"/>
  <c r="J116" i="4"/>
  <c r="L118" i="4"/>
  <c r="M118" i="4"/>
  <c r="P118" i="4" s="1"/>
  <c r="N118" i="4"/>
  <c r="O118" i="4"/>
  <c r="Q118" i="4"/>
  <c r="T118" i="4" s="1"/>
  <c r="R118" i="4"/>
  <c r="S118" i="4"/>
  <c r="U118" i="4"/>
  <c r="O121" i="4"/>
  <c r="P121" i="4"/>
  <c r="T121" i="4"/>
  <c r="U121" i="4"/>
  <c r="L122" i="4"/>
  <c r="L120" i="4" s="1"/>
  <c r="O120" i="4" s="1"/>
  <c r="M122" i="4"/>
  <c r="P122" i="4" s="1"/>
  <c r="N122" i="4"/>
  <c r="Q122" i="4"/>
  <c r="R122" i="4"/>
  <c r="R119" i="4" s="1"/>
  <c r="S122" i="4"/>
  <c r="S119" i="4" s="1"/>
  <c r="S117" i="4" s="1"/>
  <c r="Q123" i="4"/>
  <c r="T123" i="4" s="1"/>
  <c r="R123" i="4"/>
  <c r="U123" i="4" s="1"/>
  <c r="S123" i="4"/>
  <c r="O124" i="4"/>
  <c r="P124" i="4"/>
  <c r="T124" i="4"/>
  <c r="U124" i="4"/>
  <c r="L125" i="4"/>
  <c r="O125" i="4" s="1"/>
  <c r="M125" i="4"/>
  <c r="M123" i="4" s="1"/>
  <c r="P123" i="4" s="1"/>
  <c r="N125" i="4"/>
  <c r="N123" i="4" s="1"/>
  <c r="T125" i="4"/>
  <c r="U125" i="4"/>
  <c r="I127" i="4"/>
  <c r="I116" i="4" s="1"/>
  <c r="K116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Q140" i="4"/>
  <c r="R140" i="4"/>
  <c r="S140" i="4"/>
  <c r="T140" i="4"/>
  <c r="O143" i="4"/>
  <c r="P143" i="4"/>
  <c r="T143" i="4"/>
  <c r="U143" i="4"/>
  <c r="L144" i="4"/>
  <c r="M144" i="4"/>
  <c r="M142" i="4" s="1"/>
  <c r="N144" i="4"/>
  <c r="Q144" i="4"/>
  <c r="Q141" i="4" s="1"/>
  <c r="T141" i="4" s="1"/>
  <c r="R144" i="4"/>
  <c r="R141" i="4" s="1"/>
  <c r="U141" i="4" s="1"/>
  <c r="S144" i="4"/>
  <c r="Q145" i="4"/>
  <c r="T145" i="4" s="1"/>
  <c r="R145" i="4"/>
  <c r="U145" i="4" s="1"/>
  <c r="S145" i="4"/>
  <c r="O146" i="4"/>
  <c r="P146" i="4"/>
  <c r="T146" i="4"/>
  <c r="U146" i="4"/>
  <c r="L147" i="4"/>
  <c r="M147" i="4"/>
  <c r="M145" i="4" s="1"/>
  <c r="P145" i="4" s="1"/>
  <c r="N147" i="4"/>
  <c r="N145" i="4" s="1"/>
  <c r="T147" i="4"/>
  <c r="U147" i="4"/>
  <c r="I150" i="4"/>
  <c r="K150" i="4" s="1"/>
  <c r="I151" i="4"/>
  <c r="K151" i="4" s="1"/>
  <c r="I152" i="4"/>
  <c r="I137" i="4" s="1"/>
  <c r="I153" i="4"/>
  <c r="I154" i="4"/>
  <c r="I136" i="4" s="1"/>
  <c r="K136" i="4" s="1"/>
  <c r="J156" i="4"/>
  <c r="L158" i="4"/>
  <c r="M158" i="4"/>
  <c r="P158" i="4" s="1"/>
  <c r="N158" i="4"/>
  <c r="O158" i="4"/>
  <c r="Q158" i="4"/>
  <c r="T158" i="4" s="1"/>
  <c r="R158" i="4"/>
  <c r="S158" i="4"/>
  <c r="U158" i="4"/>
  <c r="O161" i="4"/>
  <c r="P161" i="4"/>
  <c r="T161" i="4"/>
  <c r="U161" i="4"/>
  <c r="L162" i="4"/>
  <c r="O162" i="4" s="1"/>
  <c r="M162" i="4"/>
  <c r="N162" i="4"/>
  <c r="N160" i="4" s="1"/>
  <c r="Q162" i="4"/>
  <c r="R162" i="4"/>
  <c r="S162" i="4"/>
  <c r="S159" i="4" s="1"/>
  <c r="Q163" i="4"/>
  <c r="R163" i="4"/>
  <c r="U163" i="4" s="1"/>
  <c r="S163" i="4"/>
  <c r="T163" i="4"/>
  <c r="O164" i="4"/>
  <c r="P164" i="4"/>
  <c r="T164" i="4"/>
  <c r="U164" i="4"/>
  <c r="L165" i="4"/>
  <c r="O165" i="4" s="1"/>
  <c r="M165" i="4"/>
  <c r="P165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M174" i="4"/>
  <c r="P174" i="4" s="1"/>
  <c r="N174" i="4"/>
  <c r="O174" i="4"/>
  <c r="Q174" i="4"/>
  <c r="R174" i="4"/>
  <c r="S174" i="4"/>
  <c r="U174" i="4"/>
  <c r="O177" i="4"/>
  <c r="P177" i="4"/>
  <c r="T177" i="4"/>
  <c r="U177" i="4"/>
  <c r="L178" i="4"/>
  <c r="M178" i="4"/>
  <c r="N178" i="4"/>
  <c r="N176" i="4" s="1"/>
  <c r="Q178" i="4"/>
  <c r="Q175" i="4" s="1"/>
  <c r="T175" i="4" s="1"/>
  <c r="R178" i="4"/>
  <c r="R176" i="4" s="1"/>
  <c r="U176" i="4" s="1"/>
  <c r="S178" i="4"/>
  <c r="S176" i="4" s="1"/>
  <c r="Q179" i="4"/>
  <c r="R179" i="4"/>
  <c r="U179" i="4" s="1"/>
  <c r="S179" i="4"/>
  <c r="T179" i="4"/>
  <c r="O180" i="4"/>
  <c r="P180" i="4"/>
  <c r="T180" i="4"/>
  <c r="U180" i="4"/>
  <c r="L181" i="4"/>
  <c r="M181" i="4"/>
  <c r="P181" i="4" s="1"/>
  <c r="N181" i="4"/>
  <c r="N179" i="4" s="1"/>
  <c r="T181" i="4"/>
  <c r="U181" i="4"/>
  <c r="I183" i="4"/>
  <c r="K184" i="4"/>
  <c r="L187" i="4"/>
  <c r="O187" i="4" s="1"/>
  <c r="M187" i="4"/>
  <c r="N187" i="4"/>
  <c r="Q187" i="4"/>
  <c r="R187" i="4"/>
  <c r="U187" i="4" s="1"/>
  <c r="S187" i="4"/>
  <c r="O190" i="4"/>
  <c r="P190" i="4"/>
  <c r="T190" i="4"/>
  <c r="U190" i="4"/>
  <c r="L191" i="4"/>
  <c r="L189" i="4" s="1"/>
  <c r="M191" i="4"/>
  <c r="N191" i="4"/>
  <c r="N189" i="4" s="1"/>
  <c r="Q191" i="4"/>
  <c r="Q188" i="4" s="1"/>
  <c r="R191" i="4"/>
  <c r="S191" i="4"/>
  <c r="S188" i="4" s="1"/>
  <c r="Q192" i="4"/>
  <c r="R192" i="4"/>
  <c r="U192" i="4" s="1"/>
  <c r="S192" i="4"/>
  <c r="T192" i="4"/>
  <c r="O193" i="4"/>
  <c r="P193" i="4"/>
  <c r="T193" i="4"/>
  <c r="U193" i="4"/>
  <c r="L194" i="4"/>
  <c r="M194" i="4"/>
  <c r="N194" i="4"/>
  <c r="T194" i="4"/>
  <c r="U194" i="4"/>
  <c r="J195" i="4"/>
  <c r="L196" i="4"/>
  <c r="O196" i="4" s="1"/>
  <c r="P196" i="4"/>
  <c r="I198" i="4"/>
  <c r="K198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21" i="4" s="1"/>
  <c r="I230" i="4"/>
  <c r="K230" i="4" s="1"/>
  <c r="N233" i="4"/>
  <c r="N234" i="4"/>
  <c r="N235" i="4"/>
  <c r="N236" i="4"/>
  <c r="J238" i="4"/>
  <c r="I240" i="4"/>
  <c r="K240" i="4" s="1"/>
  <c r="J240" i="4"/>
  <c r="I241" i="4"/>
  <c r="K241" i="4" s="1"/>
  <c r="J241" i="4"/>
  <c r="J242" i="4"/>
  <c r="N243" i="4"/>
  <c r="P243" i="4"/>
  <c r="L244" i="4"/>
  <c r="L245" i="4"/>
  <c r="L246" i="4"/>
  <c r="L247" i="4"/>
  <c r="I249" i="4"/>
  <c r="K249" i="4" s="1"/>
  <c r="K251" i="4"/>
  <c r="K252" i="4"/>
  <c r="J253" i="4"/>
  <c r="N254" i="4"/>
  <c r="N232" i="4" s="1"/>
  <c r="P254" i="4"/>
  <c r="L255" i="4"/>
  <c r="L256" i="4"/>
  <c r="L257" i="4"/>
  <c r="L258" i="4"/>
  <c r="I260" i="4"/>
  <c r="K262" i="4"/>
  <c r="K263" i="4"/>
  <c r="J265" i="4"/>
  <c r="L267" i="4"/>
  <c r="M267" i="4"/>
  <c r="N267" i="4"/>
  <c r="Q267" i="4"/>
  <c r="T267" i="4" s="1"/>
  <c r="R267" i="4"/>
  <c r="S267" i="4"/>
  <c r="O270" i="4"/>
  <c r="P270" i="4"/>
  <c r="T270" i="4"/>
  <c r="U270" i="4"/>
  <c r="L271" i="4"/>
  <c r="L269" i="4" s="1"/>
  <c r="O269" i="4" s="1"/>
  <c r="M271" i="4"/>
  <c r="N271" i="4"/>
  <c r="N269" i="4" s="1"/>
  <c r="Q271" i="4"/>
  <c r="Q268" i="4" s="1"/>
  <c r="Q266" i="4" s="1"/>
  <c r="R271" i="4"/>
  <c r="S271" i="4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N274" i="4"/>
  <c r="N272" i="4" s="1"/>
  <c r="T274" i="4"/>
  <c r="U274" i="4"/>
  <c r="I276" i="4"/>
  <c r="I265" i="4" s="1"/>
  <c r="K265" i="4" s="1"/>
  <c r="J281" i="4"/>
  <c r="Q282" i="4"/>
  <c r="T282" i="4" s="1"/>
  <c r="L283" i="4"/>
  <c r="M283" i="4"/>
  <c r="N283" i="4"/>
  <c r="Q283" i="4"/>
  <c r="T283" i="4" s="1"/>
  <c r="R283" i="4"/>
  <c r="U283" i="4" s="1"/>
  <c r="S283" i="4"/>
  <c r="S282" i="4" s="1"/>
  <c r="Q284" i="4"/>
  <c r="R284" i="4"/>
  <c r="U284" i="4" s="1"/>
  <c r="S284" i="4"/>
  <c r="T284" i="4"/>
  <c r="Q285" i="4"/>
  <c r="T285" i="4" s="1"/>
  <c r="R285" i="4"/>
  <c r="U285" i="4" s="1"/>
  <c r="S285" i="4"/>
  <c r="O286" i="4"/>
  <c r="P286" i="4"/>
  <c r="T286" i="4"/>
  <c r="U286" i="4"/>
  <c r="L287" i="4"/>
  <c r="M287" i="4"/>
  <c r="M285" i="4" s="1"/>
  <c r="P285" i="4" s="1"/>
  <c r="N287" i="4"/>
  <c r="N285" i="4" s="1"/>
  <c r="T287" i="4"/>
  <c r="U287" i="4"/>
  <c r="Q288" i="4"/>
  <c r="T288" i="4" s="1"/>
  <c r="R288" i="4"/>
  <c r="S288" i="4"/>
  <c r="U288" i="4"/>
  <c r="O289" i="4"/>
  <c r="P289" i="4"/>
  <c r="T289" i="4"/>
  <c r="U289" i="4"/>
  <c r="L290" i="4"/>
  <c r="M290" i="4"/>
  <c r="P290" i="4" s="1"/>
  <c r="N290" i="4"/>
  <c r="N288" i="4" s="1"/>
  <c r="T290" i="4"/>
  <c r="U290" i="4"/>
  <c r="I292" i="4"/>
  <c r="I293" i="4"/>
  <c r="I280" i="4" s="1"/>
  <c r="K280" i="4" s="1"/>
  <c r="J293" i="4"/>
  <c r="J280" i="4" s="1"/>
  <c r="I295" i="4"/>
  <c r="K295" i="4" s="1"/>
  <c r="I296" i="4"/>
  <c r="K296" i="4" s="1"/>
  <c r="J302" i="4"/>
  <c r="L304" i="4"/>
  <c r="O304" i="4" s="1"/>
  <c r="M304" i="4"/>
  <c r="N304" i="4"/>
  <c r="Q304" i="4"/>
  <c r="R304" i="4"/>
  <c r="S304" i="4"/>
  <c r="T304" i="4"/>
  <c r="O307" i="4"/>
  <c r="P307" i="4"/>
  <c r="T307" i="4"/>
  <c r="U307" i="4"/>
  <c r="L308" i="4"/>
  <c r="M308" i="4"/>
  <c r="P308" i="4" s="1"/>
  <c r="N308" i="4"/>
  <c r="N306" i="4" s="1"/>
  <c r="Q308" i="4"/>
  <c r="Q305" i="4" s="1"/>
  <c r="Q303" i="4" s="1"/>
  <c r="R308" i="4"/>
  <c r="R305" i="4" s="1"/>
  <c r="S308" i="4"/>
  <c r="S305" i="4" s="1"/>
  <c r="Q309" i="4"/>
  <c r="T309" i="4" s="1"/>
  <c r="R309" i="4"/>
  <c r="U309" i="4" s="1"/>
  <c r="S309" i="4"/>
  <c r="O310" i="4"/>
  <c r="P310" i="4"/>
  <c r="T310" i="4"/>
  <c r="U310" i="4"/>
  <c r="L311" i="4"/>
  <c r="O311" i="4" s="1"/>
  <c r="M311" i="4"/>
  <c r="P311" i="4" s="1"/>
  <c r="N311" i="4"/>
  <c r="T311" i="4"/>
  <c r="U311" i="4"/>
  <c r="I314" i="4"/>
  <c r="I302" i="4" s="1"/>
  <c r="K302" i="4" s="1"/>
  <c r="J319" i="4"/>
  <c r="L321" i="4"/>
  <c r="M321" i="4"/>
  <c r="N321" i="4"/>
  <c r="P321" i="4"/>
  <c r="Q321" i="4"/>
  <c r="T321" i="4" s="1"/>
  <c r="R321" i="4"/>
  <c r="S321" i="4"/>
  <c r="S320" i="4" s="1"/>
  <c r="Q322" i="4"/>
  <c r="R322" i="4"/>
  <c r="U322" i="4" s="1"/>
  <c r="S322" i="4"/>
  <c r="T322" i="4"/>
  <c r="Q323" i="4"/>
  <c r="T323" i="4" s="1"/>
  <c r="R323" i="4"/>
  <c r="S323" i="4"/>
  <c r="U323" i="4"/>
  <c r="O324" i="4"/>
  <c r="P324" i="4"/>
  <c r="T324" i="4"/>
  <c r="U324" i="4"/>
  <c r="L325" i="4"/>
  <c r="L323" i="4" s="1"/>
  <c r="O323" i="4" s="1"/>
  <c r="M325" i="4"/>
  <c r="N325" i="4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L326" i="4" s="1"/>
  <c r="O326" i="4" s="1"/>
  <c r="M328" i="4"/>
  <c r="M326" i="4" s="1"/>
  <c r="P326" i="4" s="1"/>
  <c r="N328" i="4"/>
  <c r="N326" i="4" s="1"/>
  <c r="T328" i="4"/>
  <c r="U328" i="4"/>
  <c r="I330" i="4"/>
  <c r="K330" i="4" s="1"/>
  <c r="L334" i="4"/>
  <c r="O334" i="4" s="1"/>
  <c r="M334" i="4"/>
  <c r="N334" i="4"/>
  <c r="Q334" i="4"/>
  <c r="R334" i="4"/>
  <c r="U334" i="4" s="1"/>
  <c r="S334" i="4"/>
  <c r="Q335" i="4"/>
  <c r="R335" i="4"/>
  <c r="U335" i="4" s="1"/>
  <c r="S335" i="4"/>
  <c r="T335" i="4"/>
  <c r="Q336" i="4"/>
  <c r="T336" i="4" s="1"/>
  <c r="R336" i="4"/>
  <c r="U336" i="4" s="1"/>
  <c r="S336" i="4"/>
  <c r="O337" i="4"/>
  <c r="P337" i="4"/>
  <c r="T337" i="4"/>
  <c r="U337" i="4"/>
  <c r="L338" i="4"/>
  <c r="M338" i="4"/>
  <c r="N338" i="4"/>
  <c r="N336" i="4" s="1"/>
  <c r="T338" i="4"/>
  <c r="U338" i="4"/>
  <c r="Q339" i="4"/>
  <c r="R339" i="4"/>
  <c r="U339" i="4" s="1"/>
  <c r="S339" i="4"/>
  <c r="T339" i="4"/>
  <c r="O340" i="4"/>
  <c r="P340" i="4"/>
  <c r="T340" i="4"/>
  <c r="U340" i="4"/>
  <c r="L341" i="4"/>
  <c r="O341" i="4" s="1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D354" i="4"/>
  <c r="L357" i="4"/>
  <c r="M357" i="4"/>
  <c r="P357" i="4" s="1"/>
  <c r="N357" i="4"/>
  <c r="O357" i="4"/>
  <c r="Q357" i="4"/>
  <c r="R357" i="4"/>
  <c r="S357" i="4"/>
  <c r="U357" i="4"/>
  <c r="Q358" i="4"/>
  <c r="T358" i="4" s="1"/>
  <c r="R358" i="4"/>
  <c r="U358" i="4" s="1"/>
  <c r="S358" i="4"/>
  <c r="Q359" i="4"/>
  <c r="R359" i="4"/>
  <c r="U359" i="4" s="1"/>
  <c r="S359" i="4"/>
  <c r="T359" i="4"/>
  <c r="O360" i="4"/>
  <c r="P360" i="4"/>
  <c r="T360" i="4"/>
  <c r="U360" i="4"/>
  <c r="L361" i="4"/>
  <c r="M361" i="4"/>
  <c r="N361" i="4"/>
  <c r="N359" i="4" s="1"/>
  <c r="T361" i="4"/>
  <c r="U361" i="4"/>
  <c r="Q362" i="4"/>
  <c r="T362" i="4" s="1"/>
  <c r="R362" i="4"/>
  <c r="S362" i="4"/>
  <c r="U362" i="4"/>
  <c r="O363" i="4"/>
  <c r="P363" i="4"/>
  <c r="T363" i="4"/>
  <c r="U363" i="4"/>
  <c r="L364" i="4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P376" i="4" s="1"/>
  <c r="N376" i="4"/>
  <c r="Q376" i="4"/>
  <c r="T376" i="4" s="1"/>
  <c r="R376" i="4"/>
  <c r="S376" i="4"/>
  <c r="L377" i="4"/>
  <c r="O377" i="4" s="1"/>
  <c r="M377" i="4"/>
  <c r="P377" i="4" s="1"/>
  <c r="N377" i="4"/>
  <c r="N375" i="4" s="1"/>
  <c r="L378" i="4"/>
  <c r="M378" i="4"/>
  <c r="P378" i="4" s="1"/>
  <c r="N378" i="4"/>
  <c r="O378" i="4"/>
  <c r="O379" i="4"/>
  <c r="P379" i="4"/>
  <c r="T379" i="4"/>
  <c r="U379" i="4"/>
  <c r="O380" i="4"/>
  <c r="P380" i="4"/>
  <c r="Q380" i="4"/>
  <c r="Q378" i="4" s="1"/>
  <c r="R380" i="4"/>
  <c r="R378" i="4" s="1"/>
  <c r="U378" i="4" s="1"/>
  <c r="S380" i="4"/>
  <c r="S378" i="4" s="1"/>
  <c r="L381" i="4"/>
  <c r="O381" i="4" s="1"/>
  <c r="M381" i="4"/>
  <c r="P381" i="4" s="1"/>
  <c r="N381" i="4"/>
  <c r="Q381" i="4"/>
  <c r="R381" i="4"/>
  <c r="U381" i="4" s="1"/>
  <c r="S381" i="4"/>
  <c r="T381" i="4"/>
  <c r="O382" i="4"/>
  <c r="P382" i="4"/>
  <c r="T382" i="4"/>
  <c r="U382" i="4"/>
  <c r="O383" i="4"/>
  <c r="P383" i="4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M392" i="4"/>
  <c r="P392" i="4" s="1"/>
  <c r="S392" i="4"/>
  <c r="L393" i="4"/>
  <c r="L392" i="4" s="1"/>
  <c r="O392" i="4" s="1"/>
  <c r="M393" i="4"/>
  <c r="P393" i="4" s="1"/>
  <c r="N393" i="4"/>
  <c r="O393" i="4"/>
  <c r="Q393" i="4"/>
  <c r="T393" i="4" s="1"/>
  <c r="R393" i="4"/>
  <c r="R392" i="4" s="1"/>
  <c r="U392" i="4" s="1"/>
  <c r="S393" i="4"/>
  <c r="U393" i="4"/>
  <c r="L394" i="4"/>
  <c r="O394" i="4" s="1"/>
  <c r="M394" i="4"/>
  <c r="P394" i="4" s="1"/>
  <c r="N394" i="4"/>
  <c r="Q394" i="4"/>
  <c r="R394" i="4"/>
  <c r="U394" i="4" s="1"/>
  <c r="S394" i="4"/>
  <c r="L395" i="4"/>
  <c r="O395" i="4" s="1"/>
  <c r="M395" i="4"/>
  <c r="P395" i="4" s="1"/>
  <c r="N395" i="4"/>
  <c r="Q395" i="4"/>
  <c r="R395" i="4"/>
  <c r="U395" i="4" s="1"/>
  <c r="S395" i="4"/>
  <c r="T395" i="4"/>
  <c r="O396" i="4"/>
  <c r="P396" i="4"/>
  <c r="T396" i="4"/>
  <c r="U396" i="4"/>
  <c r="O397" i="4"/>
  <c r="P397" i="4"/>
  <c r="T397" i="4"/>
  <c r="U397" i="4"/>
  <c r="L398" i="4"/>
  <c r="O398" i="4" s="1"/>
  <c r="M398" i="4"/>
  <c r="P398" i="4" s="1"/>
  <c r="N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N414" i="4"/>
  <c r="Q414" i="4"/>
  <c r="T414" i="4" s="1"/>
  <c r="R414" i="4"/>
  <c r="S414" i="4"/>
  <c r="L415" i="4"/>
  <c r="M415" i="4"/>
  <c r="P415" i="4" s="1"/>
  <c r="N415" i="4"/>
  <c r="N413" i="4" s="1"/>
  <c r="O415" i="4"/>
  <c r="L416" i="4"/>
  <c r="O416" i="4" s="1"/>
  <c r="M416" i="4"/>
  <c r="N416" i="4"/>
  <c r="P416" i="4"/>
  <c r="O417" i="4"/>
  <c r="P417" i="4"/>
  <c r="T417" i="4"/>
  <c r="U417" i="4"/>
  <c r="O418" i="4"/>
  <c r="P418" i="4"/>
  <c r="Q418" i="4"/>
  <c r="Q416" i="4" s="1"/>
  <c r="T416" i="4" s="1"/>
  <c r="R418" i="4"/>
  <c r="S418" i="4"/>
  <c r="S415" i="4" s="1"/>
  <c r="L419" i="4"/>
  <c r="O419" i="4" s="1"/>
  <c r="M419" i="4"/>
  <c r="P419" i="4" s="1"/>
  <c r="N419" i="4"/>
  <c r="Q419" i="4"/>
  <c r="T419" i="4" s="1"/>
  <c r="R419" i="4"/>
  <c r="U419" i="4" s="1"/>
  <c r="S419" i="4"/>
  <c r="O420" i="4"/>
  <c r="P420" i="4"/>
  <c r="T420" i="4"/>
  <c r="U420" i="4"/>
  <c r="O421" i="4"/>
  <c r="P421" i="4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K440" i="4" s="1"/>
  <c r="J440" i="4"/>
  <c r="J423" i="4" s="1"/>
  <c r="J412" i="4" s="1"/>
  <c r="I441" i="4"/>
  <c r="K441" i="4" s="1"/>
  <c r="J446" i="4"/>
  <c r="J447" i="4"/>
  <c r="J441" i="4" s="1"/>
  <c r="I457" i="4"/>
  <c r="I458" i="4"/>
  <c r="K458" i="4" s="1"/>
  <c r="J459" i="4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M494" i="4"/>
  <c r="P494" i="4" s="1"/>
  <c r="N494" i="4"/>
  <c r="O494" i="4"/>
  <c r="Q494" i="4"/>
  <c r="R494" i="4"/>
  <c r="S494" i="4"/>
  <c r="U494" i="4"/>
  <c r="L495" i="4"/>
  <c r="M495" i="4"/>
  <c r="P495" i="4" s="1"/>
  <c r="N495" i="4"/>
  <c r="N493" i="4" s="1"/>
  <c r="L496" i="4"/>
  <c r="O496" i="4" s="1"/>
  <c r="M496" i="4"/>
  <c r="P496" i="4" s="1"/>
  <c r="N496" i="4"/>
  <c r="O497" i="4"/>
  <c r="P497" i="4"/>
  <c r="T497" i="4"/>
  <c r="U497" i="4"/>
  <c r="O498" i="4"/>
  <c r="P498" i="4"/>
  <c r="Q498" i="4"/>
  <c r="T498" i="4" s="1"/>
  <c r="R498" i="4"/>
  <c r="R496" i="4" s="1"/>
  <c r="U496" i="4" s="1"/>
  <c r="S498" i="4"/>
  <c r="L499" i="4"/>
  <c r="O499" i="4" s="1"/>
  <c r="M499" i="4"/>
  <c r="N499" i="4"/>
  <c r="P499" i="4"/>
  <c r="Q499" i="4"/>
  <c r="T499" i="4" s="1"/>
  <c r="R499" i="4"/>
  <c r="U499" i="4" s="1"/>
  <c r="S499" i="4"/>
  <c r="O500" i="4"/>
  <c r="P500" i="4"/>
  <c r="T500" i="4"/>
  <c r="U500" i="4"/>
  <c r="O501" i="4"/>
  <c r="P501" i="4"/>
  <c r="T501" i="4"/>
  <c r="U501" i="4"/>
  <c r="I503" i="4"/>
  <c r="K503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O514" i="4"/>
  <c r="Q514" i="4"/>
  <c r="R514" i="4"/>
  <c r="R513" i="4" s="1"/>
  <c r="U513" i="4" s="1"/>
  <c r="S514" i="4"/>
  <c r="T514" i="4"/>
  <c r="Q515" i="4"/>
  <c r="T515" i="4" s="1"/>
  <c r="R515" i="4"/>
  <c r="S515" i="4"/>
  <c r="S513" i="4" s="1"/>
  <c r="U515" i="4"/>
  <c r="Q516" i="4"/>
  <c r="T516" i="4" s="1"/>
  <c r="R516" i="4"/>
  <c r="U516" i="4" s="1"/>
  <c r="S516" i="4"/>
  <c r="O517" i="4"/>
  <c r="P517" i="4"/>
  <c r="T517" i="4"/>
  <c r="U517" i="4"/>
  <c r="L518" i="4"/>
  <c r="L516" i="4" s="1"/>
  <c r="O516" i="4" s="1"/>
  <c r="M518" i="4"/>
  <c r="M516" i="4" s="1"/>
  <c r="P516" i="4" s="1"/>
  <c r="N518" i="4"/>
  <c r="N516" i="4" s="1"/>
  <c r="T518" i="4"/>
  <c r="U518" i="4"/>
  <c r="Q519" i="4"/>
  <c r="T519" i="4" s="1"/>
  <c r="R519" i="4"/>
  <c r="S519" i="4"/>
  <c r="U519" i="4"/>
  <c r="O520" i="4"/>
  <c r="P520" i="4"/>
  <c r="T520" i="4"/>
  <c r="U520" i="4"/>
  <c r="L521" i="4"/>
  <c r="O521" i="4" s="1"/>
  <c r="M521" i="4"/>
  <c r="N521" i="4"/>
  <c r="N519" i="4" s="1"/>
  <c r="T521" i="4"/>
  <c r="U521" i="4"/>
  <c r="K523" i="4"/>
  <c r="K524" i="4"/>
  <c r="I533" i="4"/>
  <c r="K533" i="4" s="1"/>
  <c r="J533" i="4"/>
  <c r="N534" i="4"/>
  <c r="L535" i="4"/>
  <c r="O535" i="4" s="1"/>
  <c r="M535" i="4"/>
  <c r="M534" i="4" s="1"/>
  <c r="P534" i="4" s="1"/>
  <c r="N535" i="4"/>
  <c r="P535" i="4"/>
  <c r="Q535" i="4"/>
  <c r="R535" i="4"/>
  <c r="U535" i="4" s="1"/>
  <c r="S535" i="4"/>
  <c r="T535" i="4"/>
  <c r="L536" i="4"/>
  <c r="O536" i="4" s="1"/>
  <c r="M536" i="4"/>
  <c r="N536" i="4"/>
  <c r="P536" i="4"/>
  <c r="Q536" i="4"/>
  <c r="Q534" i="4" s="1"/>
  <c r="T534" i="4" s="1"/>
  <c r="R536" i="4"/>
  <c r="U536" i="4" s="1"/>
  <c r="S536" i="4"/>
  <c r="L537" i="4"/>
  <c r="O537" i="4" s="1"/>
  <c r="M537" i="4"/>
  <c r="P537" i="4" s="1"/>
  <c r="N537" i="4"/>
  <c r="Q537" i="4"/>
  <c r="R537" i="4"/>
  <c r="U537" i="4" s="1"/>
  <c r="S537" i="4"/>
  <c r="T537" i="4"/>
  <c r="O538" i="4"/>
  <c r="P538" i="4"/>
  <c r="T538" i="4"/>
  <c r="U538" i="4"/>
  <c r="O539" i="4"/>
  <c r="P539" i="4"/>
  <c r="T539" i="4"/>
  <c r="U539" i="4"/>
  <c r="L540" i="4"/>
  <c r="O540" i="4" s="1"/>
  <c r="M540" i="4"/>
  <c r="P540" i="4" s="1"/>
  <c r="N540" i="4"/>
  <c r="Q540" i="4"/>
  <c r="T540" i="4" s="1"/>
  <c r="R540" i="4"/>
  <c r="U540" i="4" s="1"/>
  <c r="S540" i="4"/>
  <c r="O541" i="4"/>
  <c r="P541" i="4"/>
  <c r="T541" i="4"/>
  <c r="U541" i="4"/>
  <c r="O542" i="4"/>
  <c r="P542" i="4"/>
  <c r="T542" i="4"/>
  <c r="U542" i="4"/>
  <c r="I554" i="4"/>
  <c r="K554" i="4" s="1"/>
  <c r="J554" i="4"/>
  <c r="L556" i="4"/>
  <c r="M556" i="4"/>
  <c r="P556" i="4" s="1"/>
  <c r="N556" i="4"/>
  <c r="Q556" i="4"/>
  <c r="T556" i="4" s="1"/>
  <c r="R556" i="4"/>
  <c r="S556" i="4"/>
  <c r="S555" i="4" s="1"/>
  <c r="L557" i="4"/>
  <c r="M557" i="4"/>
  <c r="P557" i="4" s="1"/>
  <c r="N557" i="4"/>
  <c r="O557" i="4"/>
  <c r="Q557" i="4"/>
  <c r="R557" i="4"/>
  <c r="U557" i="4" s="1"/>
  <c r="S557" i="4"/>
  <c r="T557" i="4"/>
  <c r="L558" i="4"/>
  <c r="O558" i="4" s="1"/>
  <c r="M558" i="4"/>
  <c r="N558" i="4"/>
  <c r="P558" i="4"/>
  <c r="Q558" i="4"/>
  <c r="T558" i="4" s="1"/>
  <c r="R558" i="4"/>
  <c r="S558" i="4"/>
  <c r="U558" i="4"/>
  <c r="O559" i="4"/>
  <c r="P559" i="4"/>
  <c r="T559" i="4"/>
  <c r="U559" i="4"/>
  <c r="O560" i="4"/>
  <c r="P560" i="4"/>
  <c r="T560" i="4"/>
  <c r="U560" i="4"/>
  <c r="L561" i="4"/>
  <c r="M561" i="4"/>
  <c r="P561" i="4" s="1"/>
  <c r="N561" i="4"/>
  <c r="O561" i="4"/>
  <c r="Q561" i="4"/>
  <c r="T561" i="4" s="1"/>
  <c r="R561" i="4"/>
  <c r="U561" i="4" s="1"/>
  <c r="S561" i="4"/>
  <c r="O562" i="4"/>
  <c r="P562" i="4"/>
  <c r="T562" i="4"/>
  <c r="U562" i="4"/>
  <c r="O563" i="4"/>
  <c r="P563" i="4"/>
  <c r="T563" i="4"/>
  <c r="U563" i="4"/>
  <c r="I575" i="4"/>
  <c r="J575" i="4"/>
  <c r="K575" i="4"/>
  <c r="L577" i="4"/>
  <c r="M577" i="4"/>
  <c r="P577" i="4" s="1"/>
  <c r="N577" i="4"/>
  <c r="N576" i="4" s="1"/>
  <c r="Q577" i="4"/>
  <c r="T577" i="4" s="1"/>
  <c r="R577" i="4"/>
  <c r="R576" i="4" s="1"/>
  <c r="U576" i="4" s="1"/>
  <c r="S577" i="4"/>
  <c r="S576" i="4" s="1"/>
  <c r="U577" i="4"/>
  <c r="L578" i="4"/>
  <c r="M578" i="4"/>
  <c r="P578" i="4" s="1"/>
  <c r="N578" i="4"/>
  <c r="O578" i="4"/>
  <c r="Q578" i="4"/>
  <c r="Q576" i="4" s="1"/>
  <c r="T576" i="4" s="1"/>
  <c r="R578" i="4"/>
  <c r="U578" i="4" s="1"/>
  <c r="S578" i="4"/>
  <c r="L579" i="4"/>
  <c r="O579" i="4" s="1"/>
  <c r="M579" i="4"/>
  <c r="P579" i="4" s="1"/>
  <c r="N579" i="4"/>
  <c r="Q579" i="4"/>
  <c r="R579" i="4"/>
  <c r="U579" i="4" s="1"/>
  <c r="S579" i="4"/>
  <c r="T579" i="4"/>
  <c r="O580" i="4"/>
  <c r="P580" i="4"/>
  <c r="T580" i="4"/>
  <c r="U580" i="4"/>
  <c r="O581" i="4"/>
  <c r="P581" i="4"/>
  <c r="T581" i="4"/>
  <c r="U581" i="4"/>
  <c r="L582" i="4"/>
  <c r="O582" i="4" s="1"/>
  <c r="M582" i="4"/>
  <c r="N582" i="4"/>
  <c r="P582" i="4"/>
  <c r="Q582" i="4"/>
  <c r="R582" i="4"/>
  <c r="U582" i="4" s="1"/>
  <c r="S582" i="4"/>
  <c r="T582" i="4"/>
  <c r="O583" i="4"/>
  <c r="P583" i="4"/>
  <c r="T583" i="4"/>
  <c r="U583" i="4"/>
  <c r="O584" i="4"/>
  <c r="P584" i="4"/>
  <c r="T584" i="4"/>
  <c r="U584" i="4"/>
  <c r="R599" i="4"/>
  <c r="U599" i="4" s="1"/>
  <c r="L600" i="4"/>
  <c r="M600" i="4"/>
  <c r="M599" i="4" s="1"/>
  <c r="P599" i="4" s="1"/>
  <c r="N600" i="4"/>
  <c r="Q600" i="4"/>
  <c r="R600" i="4"/>
  <c r="U600" i="4" s="1"/>
  <c r="S600" i="4"/>
  <c r="S599" i="4" s="1"/>
  <c r="L601" i="4"/>
  <c r="O601" i="4" s="1"/>
  <c r="M601" i="4"/>
  <c r="N601" i="4"/>
  <c r="P601" i="4"/>
  <c r="Q601" i="4"/>
  <c r="R601" i="4"/>
  <c r="U601" i="4" s="1"/>
  <c r="S601" i="4"/>
  <c r="T601" i="4"/>
  <c r="L602" i="4"/>
  <c r="O602" i="4" s="1"/>
  <c r="M602" i="4"/>
  <c r="P602" i="4" s="1"/>
  <c r="N602" i="4"/>
  <c r="Q602" i="4"/>
  <c r="T602" i="4" s="1"/>
  <c r="R602" i="4"/>
  <c r="U602" i="4" s="1"/>
  <c r="S602" i="4"/>
  <c r="O603" i="4"/>
  <c r="P603" i="4"/>
  <c r="T603" i="4"/>
  <c r="U603" i="4"/>
  <c r="O604" i="4"/>
  <c r="P604" i="4"/>
  <c r="T604" i="4"/>
  <c r="U604" i="4"/>
  <c r="L605" i="4"/>
  <c r="O605" i="4" s="1"/>
  <c r="M605" i="4"/>
  <c r="N605" i="4"/>
  <c r="P605" i="4"/>
  <c r="Q605" i="4"/>
  <c r="T605" i="4" s="1"/>
  <c r="R605" i="4"/>
  <c r="U605" i="4" s="1"/>
  <c r="S605" i="4"/>
  <c r="O606" i="4"/>
  <c r="P606" i="4"/>
  <c r="T606" i="4"/>
  <c r="U606" i="4"/>
  <c r="O607" i="4"/>
  <c r="P607" i="4"/>
  <c r="T607" i="4"/>
  <c r="U607" i="4"/>
  <c r="N616" i="4"/>
  <c r="L617" i="4"/>
  <c r="M617" i="4"/>
  <c r="M616" i="4" s="1"/>
  <c r="P616" i="4" s="1"/>
  <c r="N617" i="4"/>
  <c r="O617" i="4"/>
  <c r="Q617" i="4"/>
  <c r="R617" i="4"/>
  <c r="U617" i="4" s="1"/>
  <c r="S617" i="4"/>
  <c r="L618" i="4"/>
  <c r="O618" i="4" s="1"/>
  <c r="M618" i="4"/>
  <c r="P618" i="4" s="1"/>
  <c r="N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S621" i="4"/>
  <c r="S619" i="4" s="1"/>
  <c r="L622" i="4"/>
  <c r="O622" i="4" s="1"/>
  <c r="M622" i="4"/>
  <c r="N622" i="4"/>
  <c r="P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29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N642" i="4"/>
  <c r="L643" i="4"/>
  <c r="M643" i="4"/>
  <c r="N643" i="4"/>
  <c r="O643" i="4"/>
  <c r="Q643" i="4"/>
  <c r="T643" i="4" s="1"/>
  <c r="R643" i="4"/>
  <c r="S643" i="4"/>
  <c r="U643" i="4"/>
  <c r="L644" i="4"/>
  <c r="O644" i="4" s="1"/>
  <c r="M644" i="4"/>
  <c r="N644" i="4"/>
  <c r="P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R644" i="4" s="1"/>
  <c r="U644" i="4" s="1"/>
  <c r="S647" i="4"/>
  <c r="L648" i="4"/>
  <c r="M648" i="4"/>
  <c r="P648" i="4" s="1"/>
  <c r="N648" i="4"/>
  <c r="O648" i="4"/>
  <c r="Q648" i="4"/>
  <c r="T648" i="4" s="1"/>
  <c r="R648" i="4"/>
  <c r="S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M691" i="4"/>
  <c r="M690" i="4" s="1"/>
  <c r="P690" i="4" s="1"/>
  <c r="N691" i="4"/>
  <c r="P691" i="4"/>
  <c r="Q691" i="4"/>
  <c r="R691" i="4"/>
  <c r="S691" i="4"/>
  <c r="T691" i="4"/>
  <c r="L692" i="4"/>
  <c r="O692" i="4" s="1"/>
  <c r="M692" i="4"/>
  <c r="N692" i="4"/>
  <c r="P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2" i="4" s="1"/>
  <c r="R695" i="4"/>
  <c r="R693" i="4" s="1"/>
  <c r="S695" i="4"/>
  <c r="S692" i="4" s="1"/>
  <c r="S690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K689" i="4" s="1"/>
  <c r="J707" i="4"/>
  <c r="J689" i="4" s="1"/>
  <c r="J708" i="4"/>
  <c r="K708" i="4"/>
  <c r="I709" i="4"/>
  <c r="J709" i="4"/>
  <c r="J710" i="4"/>
  <c r="K710" i="4"/>
  <c r="J712" i="4"/>
  <c r="K712" i="4"/>
  <c r="L714" i="4"/>
  <c r="O714" i="4" s="1"/>
  <c r="L715" i="4"/>
  <c r="O715" i="4" s="1"/>
  <c r="M715" i="4"/>
  <c r="M714" i="4" s="1"/>
  <c r="P714" i="4" s="1"/>
  <c r="N715" i="4"/>
  <c r="Q715" i="4"/>
  <c r="Q714" i="4" s="1"/>
  <c r="T714" i="4" s="1"/>
  <c r="R715" i="4"/>
  <c r="U715" i="4" s="1"/>
  <c r="S715" i="4"/>
  <c r="S714" i="4" s="1"/>
  <c r="L716" i="4"/>
  <c r="O716" i="4" s="1"/>
  <c r="M716" i="4"/>
  <c r="N716" i="4"/>
  <c r="P716" i="4"/>
  <c r="Q716" i="4"/>
  <c r="R716" i="4"/>
  <c r="U716" i="4" s="1"/>
  <c r="S716" i="4"/>
  <c r="T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N720" i="4"/>
  <c r="P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M729" i="4"/>
  <c r="N729" i="4"/>
  <c r="N728" i="4" s="1"/>
  <c r="Q729" i="4"/>
  <c r="R729" i="4"/>
  <c r="U729" i="4" s="1"/>
  <c r="S729" i="4"/>
  <c r="T729" i="4"/>
  <c r="L730" i="4"/>
  <c r="O730" i="4" s="1"/>
  <c r="M730" i="4"/>
  <c r="P730" i="4" s="1"/>
  <c r="N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0" i="4" s="1"/>
  <c r="R733" i="4"/>
  <c r="S733" i="4"/>
  <c r="S731" i="4" s="1"/>
  <c r="L734" i="4"/>
  <c r="M734" i="4"/>
  <c r="P734" i="4" s="1"/>
  <c r="N734" i="4"/>
  <c r="O734" i="4"/>
  <c r="Q734" i="4"/>
  <c r="R734" i="4"/>
  <c r="S734" i="4"/>
  <c r="T734" i="4"/>
  <c r="U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L760" i="4" s="1"/>
  <c r="O760" i="4" s="1"/>
  <c r="M761" i="4"/>
  <c r="P761" i="4" s="1"/>
  <c r="N761" i="4"/>
  <c r="N760" i="4" s="1"/>
  <c r="O761" i="4"/>
  <c r="Q761" i="4"/>
  <c r="R761" i="4"/>
  <c r="S761" i="4"/>
  <c r="T761" i="4"/>
  <c r="U761" i="4"/>
  <c r="L762" i="4"/>
  <c r="O762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S762" i="4" s="1"/>
  <c r="L766" i="4"/>
  <c r="O766" i="4" s="1"/>
  <c r="M766" i="4"/>
  <c r="P766" i="4" s="1"/>
  <c r="N766" i="4"/>
  <c r="Q766" i="4"/>
  <c r="R766" i="4"/>
  <c r="U766" i="4" s="1"/>
  <c r="S766" i="4"/>
  <c r="T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22" i="3"/>
  <c r="O22" i="3" s="1"/>
  <c r="M22" i="3"/>
  <c r="N22" i="3"/>
  <c r="N19" i="3" s="1"/>
  <c r="P22" i="3"/>
  <c r="Q22" i="3"/>
  <c r="R22" i="3"/>
  <c r="U22" i="3" s="1"/>
  <c r="S22" i="3"/>
  <c r="L25" i="3"/>
  <c r="O25" i="3" s="1"/>
  <c r="M25" i="3"/>
  <c r="N25" i="3"/>
  <c r="Q25" i="3"/>
  <c r="T25" i="3" s="1"/>
  <c r="R25" i="3"/>
  <c r="U25" i="3" s="1"/>
  <c r="S25" i="3"/>
  <c r="Q26" i="3"/>
  <c r="R26" i="3"/>
  <c r="U26" i="3" s="1"/>
  <c r="S26" i="3"/>
  <c r="T44" i="3"/>
  <c r="L45" i="3"/>
  <c r="O45" i="3" s="1"/>
  <c r="M45" i="3"/>
  <c r="N45" i="3"/>
  <c r="Q45" i="3"/>
  <c r="Q44" i="3" s="1"/>
  <c r="R45" i="3"/>
  <c r="U45" i="3" s="1"/>
  <c r="S45" i="3"/>
  <c r="Q46" i="3"/>
  <c r="R46" i="3"/>
  <c r="S46" i="3"/>
  <c r="T46" i="3"/>
  <c r="Q47" i="3"/>
  <c r="T47" i="3" s="1"/>
  <c r="R47" i="3"/>
  <c r="U47" i="3" s="1"/>
  <c r="S47" i="3"/>
  <c r="O48" i="3"/>
  <c r="P48" i="3"/>
  <c r="T48" i="3"/>
  <c r="U48" i="3"/>
  <c r="L49" i="3"/>
  <c r="M49" i="3"/>
  <c r="N49" i="3"/>
  <c r="T49" i="3"/>
  <c r="U49" i="3"/>
  <c r="Q50" i="3"/>
  <c r="T50" i="3" s="1"/>
  <c r="R50" i="3"/>
  <c r="U50" i="3" s="1"/>
  <c r="S50" i="3"/>
  <c r="O51" i="3"/>
  <c r="P51" i="3"/>
  <c r="T51" i="3"/>
  <c r="U51" i="3"/>
  <c r="L52" i="3"/>
  <c r="O52" i="3" s="1"/>
  <c r="M52" i="3"/>
  <c r="P52" i="3" s="1"/>
  <c r="N52" i="3"/>
  <c r="N50" i="3" s="1"/>
  <c r="T52" i="3"/>
  <c r="U52" i="3"/>
  <c r="L60" i="3"/>
  <c r="O60" i="3" s="1"/>
  <c r="M60" i="3"/>
  <c r="P60" i="3" s="1"/>
  <c r="N60" i="3"/>
  <c r="Q60" i="3"/>
  <c r="Q59" i="3" s="1"/>
  <c r="T59" i="3" s="1"/>
  <c r="R60" i="3"/>
  <c r="U60" i="3" s="1"/>
  <c r="S60" i="3"/>
  <c r="T60" i="3"/>
  <c r="Q61" i="3"/>
  <c r="R61" i="3"/>
  <c r="S61" i="3"/>
  <c r="T61" i="3"/>
  <c r="Q62" i="3"/>
  <c r="T62" i="3" s="1"/>
  <c r="R62" i="3"/>
  <c r="U62" i="3" s="1"/>
  <c r="S62" i="3"/>
  <c r="O63" i="3"/>
  <c r="P63" i="3"/>
  <c r="T63" i="3"/>
  <c r="U63" i="3"/>
  <c r="L64" i="3"/>
  <c r="M64" i="3"/>
  <c r="M62" i="3" s="1"/>
  <c r="N64" i="3"/>
  <c r="T64" i="3"/>
  <c r="U64" i="3"/>
  <c r="Q65" i="3"/>
  <c r="R65" i="3"/>
  <c r="U65" i="3" s="1"/>
  <c r="S65" i="3"/>
  <c r="T65" i="3"/>
  <c r="O66" i="3"/>
  <c r="P66" i="3"/>
  <c r="T66" i="3"/>
  <c r="U66" i="3"/>
  <c r="L67" i="3"/>
  <c r="L65" i="3" s="1"/>
  <c r="O65" i="3" s="1"/>
  <c r="M67" i="3"/>
  <c r="M65" i="3" s="1"/>
  <c r="P65" i="3" s="1"/>
  <c r="N67" i="3"/>
  <c r="N65" i="3" s="1"/>
  <c r="T67" i="3"/>
  <c r="U67" i="3"/>
  <c r="L73" i="3"/>
  <c r="O73" i="3" s="1"/>
  <c r="M73" i="3"/>
  <c r="P73" i="3" s="1"/>
  <c r="N73" i="3"/>
  <c r="Q73" i="3"/>
  <c r="R73" i="3"/>
  <c r="S73" i="3"/>
  <c r="T73" i="3"/>
  <c r="O76" i="3"/>
  <c r="P76" i="3"/>
  <c r="T76" i="3"/>
  <c r="U76" i="3"/>
  <c r="L77" i="3"/>
  <c r="L75" i="3" s="1"/>
  <c r="M77" i="3"/>
  <c r="M75" i="3" s="1"/>
  <c r="N77" i="3"/>
  <c r="N75" i="3" s="1"/>
  <c r="Q77" i="3"/>
  <c r="Q74" i="3" s="1"/>
  <c r="R77" i="3"/>
  <c r="S77" i="3"/>
  <c r="S74" i="3" s="1"/>
  <c r="Q78" i="3"/>
  <c r="T78" i="3" s="1"/>
  <c r="R78" i="3"/>
  <c r="S78" i="3"/>
  <c r="U78" i="3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T80" i="3"/>
  <c r="U80" i="3"/>
  <c r="J82" i="3"/>
  <c r="J70" i="3" s="1"/>
  <c r="J83" i="3"/>
  <c r="J71" i="3" s="1"/>
  <c r="I84" i="3"/>
  <c r="K84" i="3" s="1"/>
  <c r="I85" i="3"/>
  <c r="K85" i="3" s="1"/>
  <c r="I86" i="3"/>
  <c r="I87" i="3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T95" i="3" s="1"/>
  <c r="R95" i="3"/>
  <c r="U95" i="3" s="1"/>
  <c r="S95" i="3"/>
  <c r="O98" i="3"/>
  <c r="P98" i="3"/>
  <c r="T98" i="3"/>
  <c r="U98" i="3"/>
  <c r="L99" i="3"/>
  <c r="M99" i="3"/>
  <c r="M97" i="3" s="1"/>
  <c r="P97" i="3" s="1"/>
  <c r="N99" i="3"/>
  <c r="N97" i="3" s="1"/>
  <c r="Q99" i="3"/>
  <c r="Q97" i="3" s="1"/>
  <c r="R99" i="3"/>
  <c r="R96" i="3" s="1"/>
  <c r="R94" i="3" s="1"/>
  <c r="S99" i="3"/>
  <c r="Q100" i="3"/>
  <c r="T100" i="3" s="1"/>
  <c r="R100" i="3"/>
  <c r="S100" i="3"/>
  <c r="U100" i="3"/>
  <c r="O101" i="3"/>
  <c r="P101" i="3"/>
  <c r="T101" i="3"/>
  <c r="U101" i="3"/>
  <c r="L102" i="3"/>
  <c r="L100" i="3" s="1"/>
  <c r="O100" i="3" s="1"/>
  <c r="M102" i="3"/>
  <c r="M100" i="3" s="1"/>
  <c r="P100" i="3" s="1"/>
  <c r="N102" i="3"/>
  <c r="N100" i="3" s="1"/>
  <c r="T102" i="3"/>
  <c r="U102" i="3"/>
  <c r="I108" i="3"/>
  <c r="I92" i="3" s="1"/>
  <c r="I109" i="3"/>
  <c r="I113" i="3"/>
  <c r="K113" i="3" s="1"/>
  <c r="I114" i="3"/>
  <c r="K114" i="3" s="1"/>
  <c r="J116" i="3"/>
  <c r="L118" i="3"/>
  <c r="O118" i="3" s="1"/>
  <c r="M118" i="3"/>
  <c r="N118" i="3"/>
  <c r="Q118" i="3"/>
  <c r="T118" i="3" s="1"/>
  <c r="R118" i="3"/>
  <c r="S118" i="3"/>
  <c r="U118" i="3"/>
  <c r="O121" i="3"/>
  <c r="P121" i="3"/>
  <c r="T121" i="3"/>
  <c r="U121" i="3"/>
  <c r="L122" i="3"/>
  <c r="L120" i="3" s="1"/>
  <c r="O120" i="3" s="1"/>
  <c r="M122" i="3"/>
  <c r="P122" i="3" s="1"/>
  <c r="N122" i="3"/>
  <c r="N120" i="3" s="1"/>
  <c r="Q122" i="3"/>
  <c r="Q120" i="3" s="1"/>
  <c r="R122" i="3"/>
  <c r="R120" i="3" s="1"/>
  <c r="S122" i="3"/>
  <c r="S119" i="3" s="1"/>
  <c r="Q123" i="3"/>
  <c r="T123" i="3" s="1"/>
  <c r="R123" i="3"/>
  <c r="S123" i="3"/>
  <c r="U123" i="3"/>
  <c r="O124" i="3"/>
  <c r="P124" i="3"/>
  <c r="T124" i="3"/>
  <c r="U124" i="3"/>
  <c r="L125" i="3"/>
  <c r="L123" i="3" s="1"/>
  <c r="O123" i="3" s="1"/>
  <c r="M125" i="3"/>
  <c r="N125" i="3"/>
  <c r="N123" i="3" s="1"/>
  <c r="T125" i="3"/>
  <c r="U125" i="3"/>
  <c r="I127" i="3"/>
  <c r="K127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O140" i="3"/>
  <c r="Q140" i="3"/>
  <c r="T140" i="3" s="1"/>
  <c r="R140" i="3"/>
  <c r="U140" i="3" s="1"/>
  <c r="S140" i="3"/>
  <c r="O143" i="3"/>
  <c r="P143" i="3"/>
  <c r="T143" i="3"/>
  <c r="U143" i="3"/>
  <c r="L144" i="3"/>
  <c r="L142" i="3" s="1"/>
  <c r="M144" i="3"/>
  <c r="M142" i="3" s="1"/>
  <c r="N144" i="3"/>
  <c r="Q144" i="3"/>
  <c r="R144" i="3"/>
  <c r="R142" i="3" s="1"/>
  <c r="U142" i="3" s="1"/>
  <c r="S144" i="3"/>
  <c r="S141" i="3" s="1"/>
  <c r="S139" i="3" s="1"/>
  <c r="Q145" i="3"/>
  <c r="T145" i="3" s="1"/>
  <c r="R145" i="3"/>
  <c r="S145" i="3"/>
  <c r="U145" i="3"/>
  <c r="O146" i="3"/>
  <c r="P146" i="3"/>
  <c r="T146" i="3"/>
  <c r="U146" i="3"/>
  <c r="L147" i="3"/>
  <c r="L145" i="3" s="1"/>
  <c r="O145" i="3" s="1"/>
  <c r="M147" i="3"/>
  <c r="M145" i="3" s="1"/>
  <c r="P145" i="3" s="1"/>
  <c r="N147" i="3"/>
  <c r="N145" i="3" s="1"/>
  <c r="T147" i="3"/>
  <c r="U147" i="3"/>
  <c r="I150" i="3"/>
  <c r="K150" i="3" s="1"/>
  <c r="I151" i="3"/>
  <c r="K151" i="3" s="1"/>
  <c r="I152" i="3"/>
  <c r="I153" i="3"/>
  <c r="K153" i="3" s="1"/>
  <c r="I154" i="3"/>
  <c r="K154" i="3" s="1"/>
  <c r="J156" i="3"/>
  <c r="L158" i="3"/>
  <c r="O158" i="3" s="1"/>
  <c r="M158" i="3"/>
  <c r="N158" i="3"/>
  <c r="Q158" i="3"/>
  <c r="T158" i="3" s="1"/>
  <c r="R158" i="3"/>
  <c r="S158" i="3"/>
  <c r="U158" i="3"/>
  <c r="O161" i="3"/>
  <c r="P161" i="3"/>
  <c r="T161" i="3"/>
  <c r="U161" i="3"/>
  <c r="L162" i="3"/>
  <c r="L160" i="3" s="1"/>
  <c r="M162" i="3"/>
  <c r="N162" i="3"/>
  <c r="N160" i="3" s="1"/>
  <c r="Q162" i="3"/>
  <c r="Q160" i="3" s="1"/>
  <c r="T160" i="3" s="1"/>
  <c r="R162" i="3"/>
  <c r="R160" i="3" s="1"/>
  <c r="U160" i="3" s="1"/>
  <c r="S162" i="3"/>
  <c r="S159" i="3" s="1"/>
  <c r="Q163" i="3"/>
  <c r="T163" i="3" s="1"/>
  <c r="R163" i="3"/>
  <c r="U163" i="3" s="1"/>
  <c r="S163" i="3"/>
  <c r="O164" i="3"/>
  <c r="P164" i="3"/>
  <c r="T164" i="3"/>
  <c r="U164" i="3"/>
  <c r="L165" i="3"/>
  <c r="L163" i="3" s="1"/>
  <c r="O163" i="3" s="1"/>
  <c r="M165" i="3"/>
  <c r="N165" i="3"/>
  <c r="N163" i="3" s="1"/>
  <c r="T165" i="3"/>
  <c r="U165" i="3"/>
  <c r="I167" i="3"/>
  <c r="I156" i="3" s="1"/>
  <c r="J172" i="3"/>
  <c r="L174" i="3"/>
  <c r="M174" i="3"/>
  <c r="N174" i="3"/>
  <c r="P174" i="3"/>
  <c r="Q174" i="3"/>
  <c r="T174" i="3" s="1"/>
  <c r="R174" i="3"/>
  <c r="S174" i="3"/>
  <c r="O177" i="3"/>
  <c r="P177" i="3"/>
  <c r="T177" i="3"/>
  <c r="U177" i="3"/>
  <c r="L178" i="3"/>
  <c r="L176" i="3" s="1"/>
  <c r="O176" i="3" s="1"/>
  <c r="M178" i="3"/>
  <c r="P178" i="3" s="1"/>
  <c r="N178" i="3"/>
  <c r="N176" i="3" s="1"/>
  <c r="Q178" i="3"/>
  <c r="Q176" i="3" s="1"/>
  <c r="T176" i="3" s="1"/>
  <c r="R178" i="3"/>
  <c r="R176" i="3" s="1"/>
  <c r="U176" i="3" s="1"/>
  <c r="S178" i="3"/>
  <c r="S176" i="3" s="1"/>
  <c r="Q179" i="3"/>
  <c r="R179" i="3"/>
  <c r="U179" i="3" s="1"/>
  <c r="S179" i="3"/>
  <c r="T179" i="3"/>
  <c r="O180" i="3"/>
  <c r="P180" i="3"/>
  <c r="T180" i="3"/>
  <c r="U180" i="3"/>
  <c r="L181" i="3"/>
  <c r="L179" i="3" s="1"/>
  <c r="O179" i="3" s="1"/>
  <c r="M181" i="3"/>
  <c r="P181" i="3" s="1"/>
  <c r="N181" i="3"/>
  <c r="T181" i="3"/>
  <c r="U181" i="3"/>
  <c r="I183" i="3"/>
  <c r="I172" i="3" s="1"/>
  <c r="K172" i="3" s="1"/>
  <c r="K184" i="3"/>
  <c r="L187" i="3"/>
  <c r="O187" i="3" s="1"/>
  <c r="M187" i="3"/>
  <c r="P187" i="3" s="1"/>
  <c r="N187" i="3"/>
  <c r="Q187" i="3"/>
  <c r="R187" i="3"/>
  <c r="S187" i="3"/>
  <c r="O190" i="3"/>
  <c r="P190" i="3"/>
  <c r="T190" i="3"/>
  <c r="U190" i="3"/>
  <c r="L191" i="3"/>
  <c r="L189" i="3" s="1"/>
  <c r="M191" i="3"/>
  <c r="N191" i="3"/>
  <c r="N189" i="3" s="1"/>
  <c r="Q191" i="3"/>
  <c r="Q188" i="3" s="1"/>
  <c r="R191" i="3"/>
  <c r="S191" i="3"/>
  <c r="S188" i="3" s="1"/>
  <c r="S186" i="3" s="1"/>
  <c r="Q192" i="3"/>
  <c r="R192" i="3"/>
  <c r="U192" i="3" s="1"/>
  <c r="S192" i="3"/>
  <c r="T192" i="3"/>
  <c r="O193" i="3"/>
  <c r="P193" i="3"/>
  <c r="T193" i="3"/>
  <c r="U193" i="3"/>
  <c r="L194" i="3"/>
  <c r="L192" i="3" s="1"/>
  <c r="O192" i="3" s="1"/>
  <c r="M194" i="3"/>
  <c r="P194" i="3" s="1"/>
  <c r="N194" i="3"/>
  <c r="N192" i="3" s="1"/>
  <c r="T194" i="3"/>
  <c r="U194" i="3"/>
  <c r="J195" i="3"/>
  <c r="L196" i="3"/>
  <c r="O196" i="3" s="1"/>
  <c r="P196" i="3"/>
  <c r="I198" i="3"/>
  <c r="I195" i="3" s="1"/>
  <c r="K195" i="3" s="1"/>
  <c r="J199" i="3"/>
  <c r="J202" i="3"/>
  <c r="N203" i="3"/>
  <c r="P203" i="3"/>
  <c r="S203" i="3"/>
  <c r="U203" i="3"/>
  <c r="L204" i="3"/>
  <c r="L205" i="3"/>
  <c r="L206" i="3"/>
  <c r="Q206" i="3"/>
  <c r="Q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K229" i="3" s="1"/>
  <c r="I230" i="3"/>
  <c r="K230" i="3" s="1"/>
  <c r="N233" i="3"/>
  <c r="N234" i="3"/>
  <c r="N235" i="3"/>
  <c r="N236" i="3"/>
  <c r="J238" i="3"/>
  <c r="I240" i="3"/>
  <c r="J240" i="3"/>
  <c r="K240" i="3"/>
  <c r="I241" i="3"/>
  <c r="K241" i="3" s="1"/>
  <c r="J241" i="3"/>
  <c r="J242" i="3"/>
  <c r="N243" i="3"/>
  <c r="P243" i="3"/>
  <c r="L244" i="3"/>
  <c r="L245" i="3"/>
  <c r="L246" i="3"/>
  <c r="L247" i="3"/>
  <c r="I249" i="3"/>
  <c r="K251" i="3"/>
  <c r="K252" i="3"/>
  <c r="J253" i="3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N267" i="3"/>
  <c r="O267" i="3"/>
  <c r="Q267" i="3"/>
  <c r="R267" i="3"/>
  <c r="S267" i="3"/>
  <c r="T267" i="3"/>
  <c r="O270" i="3"/>
  <c r="P270" i="3"/>
  <c r="T270" i="3"/>
  <c r="U270" i="3"/>
  <c r="L271" i="3"/>
  <c r="L269" i="3" s="1"/>
  <c r="O269" i="3" s="1"/>
  <c r="M271" i="3"/>
  <c r="M269" i="3" s="1"/>
  <c r="N271" i="3"/>
  <c r="N269" i="3" s="1"/>
  <c r="Q271" i="3"/>
  <c r="Q268" i="3" s="1"/>
  <c r="Q266" i="3" s="1"/>
  <c r="R271" i="3"/>
  <c r="R269" i="3" s="1"/>
  <c r="S271" i="3"/>
  <c r="S268" i="3" s="1"/>
  <c r="S266" i="3" s="1"/>
  <c r="Q272" i="3"/>
  <c r="T272" i="3" s="1"/>
  <c r="R272" i="3"/>
  <c r="S272" i="3"/>
  <c r="U272" i="3"/>
  <c r="O273" i="3"/>
  <c r="P273" i="3"/>
  <c r="T273" i="3"/>
  <c r="U273" i="3"/>
  <c r="L274" i="3"/>
  <c r="L272" i="3" s="1"/>
  <c r="O272" i="3" s="1"/>
  <c r="M274" i="3"/>
  <c r="P274" i="3" s="1"/>
  <c r="N274" i="3"/>
  <c r="N272" i="3" s="1"/>
  <c r="T274" i="3"/>
  <c r="U274" i="3"/>
  <c r="I276" i="3"/>
  <c r="I265" i="3" s="1"/>
  <c r="K265" i="3" s="1"/>
  <c r="J281" i="3"/>
  <c r="L283" i="3"/>
  <c r="O283" i="3" s="1"/>
  <c r="M283" i="3"/>
  <c r="P283" i="3" s="1"/>
  <c r="N283" i="3"/>
  <c r="Q283" i="3"/>
  <c r="Q282" i="3" s="1"/>
  <c r="T282" i="3" s="1"/>
  <c r="R283" i="3"/>
  <c r="U283" i="3" s="1"/>
  <c r="S283" i="3"/>
  <c r="S282" i="3" s="1"/>
  <c r="Q284" i="3"/>
  <c r="T284" i="3" s="1"/>
  <c r="R284" i="3"/>
  <c r="U284" i="3" s="1"/>
  <c r="S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O285" i="3" s="1"/>
  <c r="M287" i="3"/>
  <c r="M285" i="3" s="1"/>
  <c r="P285" i="3" s="1"/>
  <c r="N287" i="3"/>
  <c r="T287" i="3"/>
  <c r="U287" i="3"/>
  <c r="Q288" i="3"/>
  <c r="T288" i="3" s="1"/>
  <c r="R288" i="3"/>
  <c r="S288" i="3"/>
  <c r="U288" i="3"/>
  <c r="O289" i="3"/>
  <c r="P289" i="3"/>
  <c r="T289" i="3"/>
  <c r="U289" i="3"/>
  <c r="L290" i="3"/>
  <c r="L288" i="3" s="1"/>
  <c r="O288" i="3" s="1"/>
  <c r="M290" i="3"/>
  <c r="N290" i="3"/>
  <c r="N288" i="3" s="1"/>
  <c r="T290" i="3"/>
  <c r="U290" i="3"/>
  <c r="I292" i="3"/>
  <c r="I293" i="3"/>
  <c r="K293" i="3" s="1"/>
  <c r="J293" i="3"/>
  <c r="J280" i="3" s="1"/>
  <c r="I295" i="3"/>
  <c r="K295" i="3" s="1"/>
  <c r="I296" i="3"/>
  <c r="K296" i="3" s="1"/>
  <c r="J302" i="3"/>
  <c r="L304" i="3"/>
  <c r="O304" i="3" s="1"/>
  <c r="M304" i="3"/>
  <c r="N304" i="3"/>
  <c r="Q304" i="3"/>
  <c r="R304" i="3"/>
  <c r="U304" i="3" s="1"/>
  <c r="S304" i="3"/>
  <c r="T304" i="3"/>
  <c r="O307" i="3"/>
  <c r="P307" i="3"/>
  <c r="T307" i="3"/>
  <c r="U307" i="3"/>
  <c r="L308" i="3"/>
  <c r="M308" i="3"/>
  <c r="M306" i="3" s="1"/>
  <c r="P306" i="3" s="1"/>
  <c r="N308" i="3"/>
  <c r="Q308" i="3"/>
  <c r="Q305" i="3" s="1"/>
  <c r="R308" i="3"/>
  <c r="R305" i="3" s="1"/>
  <c r="R303" i="3" s="1"/>
  <c r="S308" i="3"/>
  <c r="S306" i="3" s="1"/>
  <c r="Q309" i="3"/>
  <c r="R309" i="3"/>
  <c r="U309" i="3" s="1"/>
  <c r="S309" i="3"/>
  <c r="T309" i="3"/>
  <c r="O310" i="3"/>
  <c r="P310" i="3"/>
  <c r="T310" i="3"/>
  <c r="U310" i="3"/>
  <c r="L311" i="3"/>
  <c r="O311" i="3" s="1"/>
  <c r="M311" i="3"/>
  <c r="M309" i="3" s="1"/>
  <c r="P309" i="3" s="1"/>
  <c r="N311" i="3"/>
  <c r="N309" i="3" s="1"/>
  <c r="T311" i="3"/>
  <c r="U311" i="3"/>
  <c r="I314" i="3"/>
  <c r="I302" i="3" s="1"/>
  <c r="K302" i="3" s="1"/>
  <c r="J319" i="3"/>
  <c r="L321" i="3"/>
  <c r="M321" i="3"/>
  <c r="N321" i="3"/>
  <c r="P321" i="3"/>
  <c r="Q321" i="3"/>
  <c r="R321" i="3"/>
  <c r="U321" i="3" s="1"/>
  <c r="S321" i="3"/>
  <c r="S320" i="3" s="1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M325" i="3"/>
  <c r="M323" i="3" s="1"/>
  <c r="N325" i="3"/>
  <c r="N323" i="3" s="1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O326" i="3" s="1"/>
  <c r="M328" i="3"/>
  <c r="M326" i="3" s="1"/>
  <c r="P326" i="3" s="1"/>
  <c r="N328" i="3"/>
  <c r="N326" i="3" s="1"/>
  <c r="T328" i="3"/>
  <c r="U328" i="3"/>
  <c r="I330" i="3"/>
  <c r="L334" i="3"/>
  <c r="O334" i="3" s="1"/>
  <c r="M334" i="3"/>
  <c r="P334" i="3" s="1"/>
  <c r="N334" i="3"/>
  <c r="Q334" i="3"/>
  <c r="T334" i="3" s="1"/>
  <c r="R334" i="3"/>
  <c r="S334" i="3"/>
  <c r="S333" i="3" s="1"/>
  <c r="Q335" i="3"/>
  <c r="T335" i="3" s="1"/>
  <c r="R335" i="3"/>
  <c r="U335" i="3" s="1"/>
  <c r="S335" i="3"/>
  <c r="Q336" i="3"/>
  <c r="T336" i="3" s="1"/>
  <c r="R336" i="3"/>
  <c r="U336" i="3" s="1"/>
  <c r="S336" i="3"/>
  <c r="O337" i="3"/>
  <c r="P337" i="3"/>
  <c r="T337" i="3"/>
  <c r="U337" i="3"/>
  <c r="L338" i="3"/>
  <c r="L336" i="3" s="1"/>
  <c r="M338" i="3"/>
  <c r="M336" i="3" s="1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M341" i="3"/>
  <c r="M339" i="3" s="1"/>
  <c r="P339" i="3" s="1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D354" i="3"/>
  <c r="S356" i="3"/>
  <c r="L357" i="3"/>
  <c r="M357" i="3"/>
  <c r="N357" i="3"/>
  <c r="O357" i="3"/>
  <c r="Q357" i="3"/>
  <c r="R357" i="3"/>
  <c r="S357" i="3"/>
  <c r="T357" i="3"/>
  <c r="U357" i="3"/>
  <c r="Q358" i="3"/>
  <c r="R358" i="3"/>
  <c r="U358" i="3" s="1"/>
  <c r="S358" i="3"/>
  <c r="T358" i="3"/>
  <c r="Q359" i="3"/>
  <c r="T359" i="3" s="1"/>
  <c r="R359" i="3"/>
  <c r="U359" i="3" s="1"/>
  <c r="S359" i="3"/>
  <c r="O360" i="3"/>
  <c r="P360" i="3"/>
  <c r="T360" i="3"/>
  <c r="U360" i="3"/>
  <c r="L361" i="3"/>
  <c r="M361" i="3"/>
  <c r="M359" i="3" s="1"/>
  <c r="N361" i="3"/>
  <c r="T361" i="3"/>
  <c r="U361" i="3"/>
  <c r="Q362" i="3"/>
  <c r="T362" i="3" s="1"/>
  <c r="R362" i="3"/>
  <c r="S362" i="3"/>
  <c r="U362" i="3"/>
  <c r="O363" i="3"/>
  <c r="P363" i="3"/>
  <c r="T363" i="3"/>
  <c r="U363" i="3"/>
  <c r="L364" i="3"/>
  <c r="L362" i="3" s="1"/>
  <c r="O362" i="3" s="1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P376" i="3" s="1"/>
  <c r="N376" i="3"/>
  <c r="Q376" i="3"/>
  <c r="R376" i="3"/>
  <c r="U376" i="3" s="1"/>
  <c r="S376" i="3"/>
  <c r="T376" i="3"/>
  <c r="L377" i="3"/>
  <c r="O377" i="3" s="1"/>
  <c r="M377" i="3"/>
  <c r="N377" i="3"/>
  <c r="L378" i="3"/>
  <c r="O378" i="3" s="1"/>
  <c r="M378" i="3"/>
  <c r="P378" i="3" s="1"/>
  <c r="N378" i="3"/>
  <c r="O379" i="3"/>
  <c r="P379" i="3"/>
  <c r="T379" i="3"/>
  <c r="U379" i="3"/>
  <c r="O380" i="3"/>
  <c r="P380" i="3"/>
  <c r="Q380" i="3"/>
  <c r="R380" i="3"/>
  <c r="R377" i="3" s="1"/>
  <c r="S380" i="3"/>
  <c r="S378" i="3" s="1"/>
  <c r="L381" i="3"/>
  <c r="O381" i="3" s="1"/>
  <c r="M381" i="3"/>
  <c r="P381" i="3" s="1"/>
  <c r="N381" i="3"/>
  <c r="Q381" i="3"/>
  <c r="T381" i="3" s="1"/>
  <c r="R381" i="3"/>
  <c r="U381" i="3" s="1"/>
  <c r="S381" i="3"/>
  <c r="O382" i="3"/>
  <c r="P382" i="3"/>
  <c r="T382" i="3"/>
  <c r="U382" i="3"/>
  <c r="O383" i="3"/>
  <c r="P383" i="3"/>
  <c r="T383" i="3"/>
  <c r="U383" i="3"/>
  <c r="J385" i="3"/>
  <c r="K385" i="3"/>
  <c r="I386" i="3"/>
  <c r="J386" i="3"/>
  <c r="J387" i="3"/>
  <c r="K387" i="3"/>
  <c r="I388" i="3"/>
  <c r="J388" i="3"/>
  <c r="I391" i="3"/>
  <c r="K391" i="3" s="1"/>
  <c r="J391" i="3"/>
  <c r="L393" i="3"/>
  <c r="O393" i="3" s="1"/>
  <c r="M393" i="3"/>
  <c r="N393" i="3"/>
  <c r="P393" i="3"/>
  <c r="Q393" i="3"/>
  <c r="Q392" i="3" s="1"/>
  <c r="T392" i="3" s="1"/>
  <c r="R393" i="3"/>
  <c r="S393" i="3"/>
  <c r="S392" i="3" s="1"/>
  <c r="T393" i="3"/>
  <c r="L394" i="3"/>
  <c r="O394" i="3" s="1"/>
  <c r="M394" i="3"/>
  <c r="P394" i="3" s="1"/>
  <c r="N394" i="3"/>
  <c r="Q394" i="3"/>
  <c r="T394" i="3" s="1"/>
  <c r="R394" i="3"/>
  <c r="U394" i="3" s="1"/>
  <c r="S394" i="3"/>
  <c r="L395" i="3"/>
  <c r="O395" i="3" s="1"/>
  <c r="M395" i="3"/>
  <c r="N395" i="3"/>
  <c r="P395" i="3"/>
  <c r="Q395" i="3"/>
  <c r="T395" i="3" s="1"/>
  <c r="R395" i="3"/>
  <c r="U395" i="3" s="1"/>
  <c r="S395" i="3"/>
  <c r="O396" i="3"/>
  <c r="P396" i="3"/>
  <c r="T396" i="3"/>
  <c r="U396" i="3"/>
  <c r="O397" i="3"/>
  <c r="P397" i="3"/>
  <c r="T397" i="3"/>
  <c r="U397" i="3"/>
  <c r="L398" i="3"/>
  <c r="O398" i="3" s="1"/>
  <c r="M398" i="3"/>
  <c r="N398" i="3"/>
  <c r="P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P414" i="3" s="1"/>
  <c r="N414" i="3"/>
  <c r="N413" i="3" s="1"/>
  <c r="Q414" i="3"/>
  <c r="T414" i="3" s="1"/>
  <c r="R414" i="3"/>
  <c r="U414" i="3" s="1"/>
  <c r="S414" i="3"/>
  <c r="L415" i="3"/>
  <c r="O415" i="3" s="1"/>
  <c r="M415" i="3"/>
  <c r="P415" i="3" s="1"/>
  <c r="N415" i="3"/>
  <c r="L416" i="3"/>
  <c r="O416" i="3" s="1"/>
  <c r="M416" i="3"/>
  <c r="P416" i="3" s="1"/>
  <c r="N416" i="3"/>
  <c r="O417" i="3"/>
  <c r="P417" i="3"/>
  <c r="T417" i="3"/>
  <c r="U417" i="3"/>
  <c r="O418" i="3"/>
  <c r="P418" i="3"/>
  <c r="Q418" i="3"/>
  <c r="T418" i="3" s="1"/>
  <c r="R418" i="3"/>
  <c r="R415" i="3" s="1"/>
  <c r="S418" i="3"/>
  <c r="S416" i="3" s="1"/>
  <c r="L419" i="3"/>
  <c r="M419" i="3"/>
  <c r="P419" i="3" s="1"/>
  <c r="N419" i="3"/>
  <c r="O419" i="3"/>
  <c r="Q419" i="3"/>
  <c r="T419" i="3" s="1"/>
  <c r="R419" i="3"/>
  <c r="S419" i="3"/>
  <c r="U419" i="3"/>
  <c r="O420" i="3"/>
  <c r="P420" i="3"/>
  <c r="T420" i="3"/>
  <c r="U420" i="3"/>
  <c r="O421" i="3"/>
  <c r="P421" i="3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K423" i="3" s="1"/>
  <c r="I441" i="3"/>
  <c r="K441" i="3" s="1"/>
  <c r="J446" i="3"/>
  <c r="J440" i="3" s="1"/>
  <c r="J423" i="3" s="1"/>
  <c r="J412" i="3" s="1"/>
  <c r="J447" i="3"/>
  <c r="J441" i="3" s="1"/>
  <c r="I457" i="3"/>
  <c r="I456" i="3" s="1"/>
  <c r="K456" i="3" s="1"/>
  <c r="I458" i="3"/>
  <c r="K458" i="3" s="1"/>
  <c r="J459" i="3"/>
  <c r="J457" i="3" s="1"/>
  <c r="J456" i="3" s="1"/>
  <c r="J460" i="3"/>
  <c r="J458" i="3" s="1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J485" i="3"/>
  <c r="K485" i="3"/>
  <c r="L494" i="3"/>
  <c r="O494" i="3" s="1"/>
  <c r="M494" i="3"/>
  <c r="N494" i="3"/>
  <c r="P494" i="3"/>
  <c r="Q494" i="3"/>
  <c r="T494" i="3" s="1"/>
  <c r="R494" i="3"/>
  <c r="U494" i="3" s="1"/>
  <c r="S494" i="3"/>
  <c r="L495" i="3"/>
  <c r="M495" i="3"/>
  <c r="P495" i="3" s="1"/>
  <c r="N495" i="3"/>
  <c r="N493" i="3" s="1"/>
  <c r="O495" i="3"/>
  <c r="L496" i="3"/>
  <c r="O496" i="3" s="1"/>
  <c r="M496" i="3"/>
  <c r="P496" i="3" s="1"/>
  <c r="N496" i="3"/>
  <c r="O497" i="3"/>
  <c r="P497" i="3"/>
  <c r="T497" i="3"/>
  <c r="U497" i="3"/>
  <c r="O498" i="3"/>
  <c r="P498" i="3"/>
  <c r="Q498" i="3"/>
  <c r="Q495" i="3" s="1"/>
  <c r="Q493" i="3" s="1"/>
  <c r="R498" i="3"/>
  <c r="R496" i="3" s="1"/>
  <c r="S498" i="3"/>
  <c r="S496" i="3" s="1"/>
  <c r="L499" i="3"/>
  <c r="M499" i="3"/>
  <c r="P499" i="3" s="1"/>
  <c r="N499" i="3"/>
  <c r="O499" i="3"/>
  <c r="Q499" i="3"/>
  <c r="T499" i="3" s="1"/>
  <c r="R499" i="3"/>
  <c r="S499" i="3"/>
  <c r="U499" i="3"/>
  <c r="O500" i="3"/>
  <c r="P500" i="3"/>
  <c r="T500" i="3"/>
  <c r="U500" i="3"/>
  <c r="O501" i="3"/>
  <c r="P501" i="3"/>
  <c r="T501" i="3"/>
  <c r="U501" i="3"/>
  <c r="I503" i="3"/>
  <c r="I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L514" i="3"/>
  <c r="O514" i="3" s="1"/>
  <c r="M514" i="3"/>
  <c r="P514" i="3" s="1"/>
  <c r="N514" i="3"/>
  <c r="Q514" i="3"/>
  <c r="Q513" i="3" s="1"/>
  <c r="T513" i="3" s="1"/>
  <c r="R514" i="3"/>
  <c r="U514" i="3" s="1"/>
  <c r="S514" i="3"/>
  <c r="Q515" i="3"/>
  <c r="R515" i="3"/>
  <c r="U515" i="3" s="1"/>
  <c r="S515" i="3"/>
  <c r="S513" i="3" s="1"/>
  <c r="T515" i="3"/>
  <c r="Q516" i="3"/>
  <c r="R516" i="3"/>
  <c r="S516" i="3"/>
  <c r="T516" i="3"/>
  <c r="U516" i="3"/>
  <c r="O517" i="3"/>
  <c r="P517" i="3"/>
  <c r="T517" i="3"/>
  <c r="U517" i="3"/>
  <c r="L518" i="3"/>
  <c r="O518" i="3" s="1"/>
  <c r="M518" i="3"/>
  <c r="M516" i="3" s="1"/>
  <c r="P516" i="3" s="1"/>
  <c r="N518" i="3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O521" i="3" s="1"/>
  <c r="M521" i="3"/>
  <c r="M519" i="3" s="1"/>
  <c r="P519" i="3" s="1"/>
  <c r="N521" i="3"/>
  <c r="N519" i="3" s="1"/>
  <c r="T521" i="3"/>
  <c r="U521" i="3"/>
  <c r="K523" i="3"/>
  <c r="K524" i="3"/>
  <c r="I533" i="3"/>
  <c r="K533" i="3" s="1"/>
  <c r="J533" i="3"/>
  <c r="M534" i="3"/>
  <c r="P534" i="3" s="1"/>
  <c r="L535" i="3"/>
  <c r="M535" i="3"/>
  <c r="P535" i="3" s="1"/>
  <c r="N535" i="3"/>
  <c r="Q535" i="3"/>
  <c r="T535" i="3" s="1"/>
  <c r="R535" i="3"/>
  <c r="R534" i="3" s="1"/>
  <c r="U534" i="3" s="1"/>
  <c r="S535" i="3"/>
  <c r="S534" i="3" s="1"/>
  <c r="L536" i="3"/>
  <c r="M536" i="3"/>
  <c r="P536" i="3" s="1"/>
  <c r="N536" i="3"/>
  <c r="O536" i="3"/>
  <c r="Q536" i="3"/>
  <c r="R536" i="3"/>
  <c r="S536" i="3"/>
  <c r="U536" i="3"/>
  <c r="L537" i="3"/>
  <c r="O537" i="3" s="1"/>
  <c r="M537" i="3"/>
  <c r="P537" i="3" s="1"/>
  <c r="N537" i="3"/>
  <c r="Q537" i="3"/>
  <c r="T537" i="3" s="1"/>
  <c r="R537" i="3"/>
  <c r="S537" i="3"/>
  <c r="U537" i="3"/>
  <c r="O538" i="3"/>
  <c r="P538" i="3"/>
  <c r="T538" i="3"/>
  <c r="U538" i="3"/>
  <c r="O539" i="3"/>
  <c r="P539" i="3"/>
  <c r="T539" i="3"/>
  <c r="U539" i="3"/>
  <c r="L540" i="3"/>
  <c r="M540" i="3"/>
  <c r="N540" i="3"/>
  <c r="O540" i="3"/>
  <c r="P540" i="3"/>
  <c r="Q540" i="3"/>
  <c r="T540" i="3" s="1"/>
  <c r="R540" i="3"/>
  <c r="S540" i="3"/>
  <c r="U540" i="3"/>
  <c r="O541" i="3"/>
  <c r="P541" i="3"/>
  <c r="T541" i="3"/>
  <c r="U541" i="3"/>
  <c r="O542" i="3"/>
  <c r="P542" i="3"/>
  <c r="T542" i="3"/>
  <c r="U542" i="3"/>
  <c r="I554" i="3"/>
  <c r="K554" i="3" s="1"/>
  <c r="J554" i="3"/>
  <c r="S555" i="3"/>
  <c r="L556" i="3"/>
  <c r="O556" i="3" s="1"/>
  <c r="M556" i="3"/>
  <c r="M555" i="3" s="1"/>
  <c r="P555" i="3" s="1"/>
  <c r="N556" i="3"/>
  <c r="P556" i="3"/>
  <c r="Q556" i="3"/>
  <c r="Q555" i="3" s="1"/>
  <c r="T555" i="3" s="1"/>
  <c r="R556" i="3"/>
  <c r="U556" i="3" s="1"/>
  <c r="S556" i="3"/>
  <c r="L557" i="3"/>
  <c r="O557" i="3" s="1"/>
  <c r="M557" i="3"/>
  <c r="P557" i="3" s="1"/>
  <c r="N557" i="3"/>
  <c r="N555" i="3" s="1"/>
  <c r="Q557" i="3"/>
  <c r="R557" i="3"/>
  <c r="U557" i="3" s="1"/>
  <c r="S557" i="3"/>
  <c r="T557" i="3"/>
  <c r="L558" i="3"/>
  <c r="O558" i="3" s="1"/>
  <c r="M558" i="3"/>
  <c r="P558" i="3" s="1"/>
  <c r="N558" i="3"/>
  <c r="Q558" i="3"/>
  <c r="T558" i="3" s="1"/>
  <c r="R558" i="3"/>
  <c r="U558" i="3" s="1"/>
  <c r="S558" i="3"/>
  <c r="O559" i="3"/>
  <c r="P559" i="3"/>
  <c r="T559" i="3"/>
  <c r="U559" i="3"/>
  <c r="O560" i="3"/>
  <c r="P560" i="3"/>
  <c r="T560" i="3"/>
  <c r="U560" i="3"/>
  <c r="L561" i="3"/>
  <c r="O561" i="3" s="1"/>
  <c r="M561" i="3"/>
  <c r="P561" i="3" s="1"/>
  <c r="N561" i="3"/>
  <c r="Q561" i="3"/>
  <c r="R561" i="3"/>
  <c r="U561" i="3" s="1"/>
  <c r="S561" i="3"/>
  <c r="T561" i="3"/>
  <c r="O562" i="3"/>
  <c r="P562" i="3"/>
  <c r="T562" i="3"/>
  <c r="U562" i="3"/>
  <c r="O563" i="3"/>
  <c r="P563" i="3"/>
  <c r="T563" i="3"/>
  <c r="U563" i="3"/>
  <c r="I575" i="3"/>
  <c r="K575" i="3" s="1"/>
  <c r="J575" i="3"/>
  <c r="L577" i="3"/>
  <c r="M577" i="3"/>
  <c r="P577" i="3" s="1"/>
  <c r="N577" i="3"/>
  <c r="O577" i="3"/>
  <c r="Q577" i="3"/>
  <c r="R577" i="3"/>
  <c r="S577" i="3"/>
  <c r="S576" i="3" s="1"/>
  <c r="T577" i="3"/>
  <c r="L578" i="3"/>
  <c r="O578" i="3" s="1"/>
  <c r="M578" i="3"/>
  <c r="N578" i="3"/>
  <c r="P578" i="3"/>
  <c r="Q578" i="3"/>
  <c r="Q576" i="3" s="1"/>
  <c r="T576" i="3" s="1"/>
  <c r="R578" i="3"/>
  <c r="U578" i="3" s="1"/>
  <c r="S578" i="3"/>
  <c r="T578" i="3"/>
  <c r="L579" i="3"/>
  <c r="O579" i="3" s="1"/>
  <c r="M579" i="3"/>
  <c r="P579" i="3" s="1"/>
  <c r="N579" i="3"/>
  <c r="Q579" i="3"/>
  <c r="T579" i="3" s="1"/>
  <c r="R579" i="3"/>
  <c r="U579" i="3" s="1"/>
  <c r="S579" i="3"/>
  <c r="O580" i="3"/>
  <c r="P580" i="3"/>
  <c r="T580" i="3"/>
  <c r="U580" i="3"/>
  <c r="O581" i="3"/>
  <c r="P581" i="3"/>
  <c r="T581" i="3"/>
  <c r="U581" i="3"/>
  <c r="L582" i="3"/>
  <c r="O582" i="3" s="1"/>
  <c r="M582" i="3"/>
  <c r="P582" i="3" s="1"/>
  <c r="N582" i="3"/>
  <c r="Q582" i="3"/>
  <c r="T582" i="3" s="1"/>
  <c r="R582" i="3"/>
  <c r="U582" i="3" s="1"/>
  <c r="S582" i="3"/>
  <c r="O583" i="3"/>
  <c r="P583" i="3"/>
  <c r="T583" i="3"/>
  <c r="U583" i="3"/>
  <c r="O584" i="3"/>
  <c r="P584" i="3"/>
  <c r="T584" i="3"/>
  <c r="U584" i="3"/>
  <c r="L600" i="3"/>
  <c r="M600" i="3"/>
  <c r="P600" i="3" s="1"/>
  <c r="N600" i="3"/>
  <c r="Q600" i="3"/>
  <c r="R600" i="3"/>
  <c r="S600" i="3"/>
  <c r="S599" i="3" s="1"/>
  <c r="T600" i="3"/>
  <c r="L601" i="3"/>
  <c r="M601" i="3"/>
  <c r="N601" i="3"/>
  <c r="O601" i="3"/>
  <c r="P601" i="3"/>
  <c r="Q601" i="3"/>
  <c r="Q599" i="3" s="1"/>
  <c r="T599" i="3" s="1"/>
  <c r="R601" i="3"/>
  <c r="S601" i="3"/>
  <c r="U601" i="3"/>
  <c r="L602" i="3"/>
  <c r="O602" i="3" s="1"/>
  <c r="M602" i="3"/>
  <c r="P602" i="3" s="1"/>
  <c r="N602" i="3"/>
  <c r="Q602" i="3"/>
  <c r="T602" i="3" s="1"/>
  <c r="R602" i="3"/>
  <c r="U602" i="3" s="1"/>
  <c r="S602" i="3"/>
  <c r="O603" i="3"/>
  <c r="P603" i="3"/>
  <c r="T603" i="3"/>
  <c r="U603" i="3"/>
  <c r="O604" i="3"/>
  <c r="P604" i="3"/>
  <c r="T604" i="3"/>
  <c r="U604" i="3"/>
  <c r="L605" i="3"/>
  <c r="M605" i="3"/>
  <c r="P605" i="3" s="1"/>
  <c r="N605" i="3"/>
  <c r="O605" i="3"/>
  <c r="Q605" i="3"/>
  <c r="T605" i="3" s="1"/>
  <c r="R605" i="3"/>
  <c r="S605" i="3"/>
  <c r="U605" i="3"/>
  <c r="O606" i="3"/>
  <c r="P606" i="3"/>
  <c r="T606" i="3"/>
  <c r="U606" i="3"/>
  <c r="O607" i="3"/>
  <c r="P607" i="3"/>
  <c r="T607" i="3"/>
  <c r="U607" i="3"/>
  <c r="M616" i="3"/>
  <c r="P616" i="3" s="1"/>
  <c r="L617" i="3"/>
  <c r="M617" i="3"/>
  <c r="N617" i="3"/>
  <c r="P617" i="3"/>
  <c r="Q617" i="3"/>
  <c r="R617" i="3"/>
  <c r="S617" i="3"/>
  <c r="T617" i="3"/>
  <c r="L618" i="3"/>
  <c r="O618" i="3" s="1"/>
  <c r="M618" i="3"/>
  <c r="N618" i="3"/>
  <c r="N616" i="3" s="1"/>
  <c r="P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R619" i="3" s="1"/>
  <c r="S621" i="3"/>
  <c r="S618" i="3" s="1"/>
  <c r="S616" i="3" s="1"/>
  <c r="L622" i="3"/>
  <c r="M622" i="3"/>
  <c r="P622" i="3" s="1"/>
  <c r="N622" i="3"/>
  <c r="O622" i="3"/>
  <c r="Q622" i="3"/>
  <c r="T622" i="3" s="1"/>
  <c r="R622" i="3"/>
  <c r="S622" i="3"/>
  <c r="U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I635" i="3"/>
  <c r="K635" i="3" s="1"/>
  <c r="J635" i="3"/>
  <c r="J636" i="3"/>
  <c r="L643" i="3"/>
  <c r="O643" i="3" s="1"/>
  <c r="M643" i="3"/>
  <c r="P643" i="3" s="1"/>
  <c r="N643" i="3"/>
  <c r="N642" i="3" s="1"/>
  <c r="Q643" i="3"/>
  <c r="R643" i="3"/>
  <c r="S643" i="3"/>
  <c r="T643" i="3"/>
  <c r="U643" i="3"/>
  <c r="L644" i="3"/>
  <c r="M644" i="3"/>
  <c r="M642" i="3" s="1"/>
  <c r="P642" i="3" s="1"/>
  <c r="N644" i="3"/>
  <c r="O644" i="3"/>
  <c r="P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5" i="3" s="1"/>
  <c r="T645" i="3" s="1"/>
  <c r="R647" i="3"/>
  <c r="R644" i="3" s="1"/>
  <c r="U644" i="3" s="1"/>
  <c r="S647" i="3"/>
  <c r="S645" i="3" s="1"/>
  <c r="L648" i="3"/>
  <c r="O648" i="3" s="1"/>
  <c r="M648" i="3"/>
  <c r="N648" i="3"/>
  <c r="P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P691" i="3" s="1"/>
  <c r="N691" i="3"/>
  <c r="O691" i="3"/>
  <c r="Q691" i="3"/>
  <c r="R691" i="3"/>
  <c r="S691" i="3"/>
  <c r="T691" i="3"/>
  <c r="U691" i="3"/>
  <c r="L692" i="3"/>
  <c r="L690" i="3" s="1"/>
  <c r="O690" i="3" s="1"/>
  <c r="M692" i="3"/>
  <c r="N692" i="3"/>
  <c r="P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2" i="3" s="1"/>
  <c r="S695" i="3"/>
  <c r="S692" i="3" s="1"/>
  <c r="S690" i="3" s="1"/>
  <c r="L696" i="3"/>
  <c r="M696" i="3"/>
  <c r="N696" i="3"/>
  <c r="O696" i="3"/>
  <c r="P696" i="3"/>
  <c r="Q696" i="3"/>
  <c r="R696" i="3"/>
  <c r="S696" i="3"/>
  <c r="T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K703" i="3" s="1"/>
  <c r="J703" i="3"/>
  <c r="J704" i="3"/>
  <c r="K704" i="3"/>
  <c r="I705" i="3"/>
  <c r="J705" i="3"/>
  <c r="J706" i="3"/>
  <c r="K706" i="3"/>
  <c r="I707" i="3"/>
  <c r="I689" i="3" s="1"/>
  <c r="K689" i="3" s="1"/>
  <c r="J707" i="3"/>
  <c r="J689" i="3" s="1"/>
  <c r="J708" i="3"/>
  <c r="K708" i="3"/>
  <c r="I709" i="3"/>
  <c r="J709" i="3"/>
  <c r="J710" i="3"/>
  <c r="K710" i="3"/>
  <c r="J712" i="3"/>
  <c r="K712" i="3"/>
  <c r="S714" i="3"/>
  <c r="L715" i="3"/>
  <c r="O715" i="3" s="1"/>
  <c r="M715" i="3"/>
  <c r="P715" i="3" s="1"/>
  <c r="N715" i="3"/>
  <c r="Q715" i="3"/>
  <c r="T715" i="3" s="1"/>
  <c r="R715" i="3"/>
  <c r="R714" i="3" s="1"/>
  <c r="U714" i="3" s="1"/>
  <c r="S715" i="3"/>
  <c r="L716" i="3"/>
  <c r="M716" i="3"/>
  <c r="P716" i="3" s="1"/>
  <c r="N716" i="3"/>
  <c r="N714" i="3" s="1"/>
  <c r="O716" i="3"/>
  <c r="Q716" i="3"/>
  <c r="Q714" i="3" s="1"/>
  <c r="T714" i="3" s="1"/>
  <c r="R716" i="3"/>
  <c r="S716" i="3"/>
  <c r="U716" i="3"/>
  <c r="L717" i="3"/>
  <c r="M717" i="3"/>
  <c r="P717" i="3" s="1"/>
  <c r="N717" i="3"/>
  <c r="O717" i="3"/>
  <c r="Q717" i="3"/>
  <c r="T717" i="3" s="1"/>
  <c r="R717" i="3"/>
  <c r="S717" i="3"/>
  <c r="U717" i="3"/>
  <c r="O718" i="3"/>
  <c r="P718" i="3"/>
  <c r="T718" i="3"/>
  <c r="U718" i="3"/>
  <c r="O719" i="3"/>
  <c r="P719" i="3"/>
  <c r="T719" i="3"/>
  <c r="U719" i="3"/>
  <c r="L720" i="3"/>
  <c r="M720" i="3"/>
  <c r="P720" i="3" s="1"/>
  <c r="N720" i="3"/>
  <c r="O720" i="3"/>
  <c r="Q720" i="3"/>
  <c r="T720" i="3" s="1"/>
  <c r="R720" i="3"/>
  <c r="S720" i="3"/>
  <c r="U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L728" i="3" s="1"/>
  <c r="O728" i="3" s="1"/>
  <c r="M729" i="3"/>
  <c r="P729" i="3" s="1"/>
  <c r="N729" i="3"/>
  <c r="O729" i="3"/>
  <c r="Q729" i="3"/>
  <c r="T729" i="3" s="1"/>
  <c r="R729" i="3"/>
  <c r="U729" i="3" s="1"/>
  <c r="S729" i="3"/>
  <c r="L730" i="3"/>
  <c r="M730" i="3"/>
  <c r="P730" i="3" s="1"/>
  <c r="N730" i="3"/>
  <c r="N728" i="3" s="1"/>
  <c r="O730" i="3"/>
  <c r="L731" i="3"/>
  <c r="O731" i="3" s="1"/>
  <c r="M731" i="3"/>
  <c r="N731" i="3"/>
  <c r="P731" i="3"/>
  <c r="O732" i="3"/>
  <c r="P732" i="3"/>
  <c r="T732" i="3"/>
  <c r="U732" i="3"/>
  <c r="O733" i="3"/>
  <c r="P733" i="3"/>
  <c r="Q733" i="3"/>
  <c r="Q731" i="3" s="1"/>
  <c r="R733" i="3"/>
  <c r="R731" i="3" s="1"/>
  <c r="S733" i="3"/>
  <c r="S730" i="3" s="1"/>
  <c r="S728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O761" i="3" s="1"/>
  <c r="M761" i="3"/>
  <c r="N761" i="3"/>
  <c r="N760" i="3" s="1"/>
  <c r="P761" i="3"/>
  <c r="Q761" i="3"/>
  <c r="R761" i="3"/>
  <c r="U761" i="3" s="1"/>
  <c r="S761" i="3"/>
  <c r="T761" i="3"/>
  <c r="L762" i="3"/>
  <c r="L760" i="3" s="1"/>
  <c r="O760" i="3" s="1"/>
  <c r="M762" i="3"/>
  <c r="N762" i="3"/>
  <c r="P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Q762" i="3" s="1"/>
  <c r="Q760" i="3" s="1"/>
  <c r="R765" i="3"/>
  <c r="R763" i="3" s="1"/>
  <c r="S765" i="3"/>
  <c r="S763" i="3" s="1"/>
  <c r="L766" i="3"/>
  <c r="M766" i="3"/>
  <c r="P766" i="3" s="1"/>
  <c r="N766" i="3"/>
  <c r="O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M22" i="2"/>
  <c r="N22" i="2"/>
  <c r="O22" i="2"/>
  <c r="Q22" i="2"/>
  <c r="T22" i="2" s="1"/>
  <c r="R22" i="2"/>
  <c r="S22" i="2"/>
  <c r="L25" i="2"/>
  <c r="O25" i="2" s="1"/>
  <c r="M25" i="2"/>
  <c r="N25" i="2"/>
  <c r="Q25" i="2"/>
  <c r="T25" i="2" s="1"/>
  <c r="R25" i="2"/>
  <c r="U25" i="2" s="1"/>
  <c r="S25" i="2"/>
  <c r="Q26" i="2"/>
  <c r="T26" i="2" s="1"/>
  <c r="R26" i="2"/>
  <c r="S26" i="2"/>
  <c r="U26" i="2"/>
  <c r="L45" i="2"/>
  <c r="O45" i="2" s="1"/>
  <c r="M45" i="2"/>
  <c r="P45" i="2" s="1"/>
  <c r="N45" i="2"/>
  <c r="Q45" i="2"/>
  <c r="Q44" i="2" s="1"/>
  <c r="T44" i="2" s="1"/>
  <c r="R45" i="2"/>
  <c r="U45" i="2" s="1"/>
  <c r="S45" i="2"/>
  <c r="T45" i="2"/>
  <c r="Q46" i="2"/>
  <c r="R46" i="2"/>
  <c r="U46" i="2" s="1"/>
  <c r="S46" i="2"/>
  <c r="S44" i="2" s="1"/>
  <c r="T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N47" i="2" s="1"/>
  <c r="T49" i="2"/>
  <c r="U49" i="2"/>
  <c r="Q50" i="2"/>
  <c r="T50" i="2" s="1"/>
  <c r="R50" i="2"/>
  <c r="S50" i="2"/>
  <c r="U50" i="2"/>
  <c r="O51" i="2"/>
  <c r="P51" i="2"/>
  <c r="T51" i="2"/>
  <c r="U51" i="2"/>
  <c r="L52" i="2"/>
  <c r="M52" i="2"/>
  <c r="N52" i="2"/>
  <c r="T52" i="2"/>
  <c r="U52" i="2"/>
  <c r="L60" i="2"/>
  <c r="O60" i="2" s="1"/>
  <c r="M60" i="2"/>
  <c r="P60" i="2" s="1"/>
  <c r="N60" i="2"/>
  <c r="Q60" i="2"/>
  <c r="R60" i="2"/>
  <c r="U60" i="2" s="1"/>
  <c r="S60" i="2"/>
  <c r="Q61" i="2"/>
  <c r="T61" i="2" s="1"/>
  <c r="R61" i="2"/>
  <c r="U61" i="2" s="1"/>
  <c r="S61" i="2"/>
  <c r="S59" i="2" s="1"/>
  <c r="Q62" i="2"/>
  <c r="R62" i="2"/>
  <c r="U62" i="2" s="1"/>
  <c r="S62" i="2"/>
  <c r="T62" i="2"/>
  <c r="O63" i="2"/>
  <c r="P63" i="2"/>
  <c r="T63" i="2"/>
  <c r="U63" i="2"/>
  <c r="L64" i="2"/>
  <c r="L62" i="2" s="1"/>
  <c r="M64" i="2"/>
  <c r="N64" i="2"/>
  <c r="N62" i="2" s="1"/>
  <c r="T64" i="2"/>
  <c r="U64" i="2"/>
  <c r="Q65" i="2"/>
  <c r="T65" i="2" s="1"/>
  <c r="R65" i="2"/>
  <c r="U65" i="2" s="1"/>
  <c r="S65" i="2"/>
  <c r="O66" i="2"/>
  <c r="P66" i="2"/>
  <c r="T66" i="2"/>
  <c r="U66" i="2"/>
  <c r="L67" i="2"/>
  <c r="L65" i="2" s="1"/>
  <c r="O65" i="2" s="1"/>
  <c r="M67" i="2"/>
  <c r="N67" i="2"/>
  <c r="N65" i="2" s="1"/>
  <c r="T67" i="2"/>
  <c r="U67" i="2"/>
  <c r="L73" i="2"/>
  <c r="M73" i="2"/>
  <c r="N73" i="2"/>
  <c r="P73" i="2"/>
  <c r="Q73" i="2"/>
  <c r="R73" i="2"/>
  <c r="U73" i="2" s="1"/>
  <c r="S73" i="2"/>
  <c r="O76" i="2"/>
  <c r="P76" i="2"/>
  <c r="T76" i="2"/>
  <c r="U76" i="2"/>
  <c r="L77" i="2"/>
  <c r="M77" i="2"/>
  <c r="M75" i="2" s="1"/>
  <c r="P75" i="2" s="1"/>
  <c r="N77" i="2"/>
  <c r="N75" i="2" s="1"/>
  <c r="Q77" i="2"/>
  <c r="R77" i="2"/>
  <c r="R74" i="2" s="1"/>
  <c r="U74" i="2" s="1"/>
  <c r="S77" i="2"/>
  <c r="S75" i="2" s="1"/>
  <c r="Q78" i="2"/>
  <c r="R78" i="2"/>
  <c r="U78" i="2" s="1"/>
  <c r="S78" i="2"/>
  <c r="T78" i="2"/>
  <c r="O79" i="2"/>
  <c r="P79" i="2"/>
  <c r="T79" i="2"/>
  <c r="U79" i="2"/>
  <c r="L80" i="2"/>
  <c r="L78" i="2" s="1"/>
  <c r="O78" i="2" s="1"/>
  <c r="M80" i="2"/>
  <c r="M78" i="2" s="1"/>
  <c r="P78" i="2" s="1"/>
  <c r="N80" i="2"/>
  <c r="N78" i="2" s="1"/>
  <c r="T80" i="2"/>
  <c r="U80" i="2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T95" i="2" s="1"/>
  <c r="R95" i="2"/>
  <c r="U95" i="2" s="1"/>
  <c r="S95" i="2"/>
  <c r="O98" i="2"/>
  <c r="P98" i="2"/>
  <c r="T98" i="2"/>
  <c r="U98" i="2"/>
  <c r="L99" i="2"/>
  <c r="O99" i="2" s="1"/>
  <c r="M99" i="2"/>
  <c r="P99" i="2" s="1"/>
  <c r="N99" i="2"/>
  <c r="N97" i="2" s="1"/>
  <c r="Q99" i="2"/>
  <c r="Q96" i="2" s="1"/>
  <c r="Q94" i="2" s="1"/>
  <c r="T94" i="2" s="1"/>
  <c r="R99" i="2"/>
  <c r="R96" i="2" s="1"/>
  <c r="U96" i="2" s="1"/>
  <c r="S99" i="2"/>
  <c r="S96" i="2" s="1"/>
  <c r="Q100" i="2"/>
  <c r="T100" i="2" s="1"/>
  <c r="R100" i="2"/>
  <c r="S100" i="2"/>
  <c r="U100" i="2"/>
  <c r="O101" i="2"/>
  <c r="P101" i="2"/>
  <c r="T101" i="2"/>
  <c r="U101" i="2"/>
  <c r="L102" i="2"/>
  <c r="L100" i="2" s="1"/>
  <c r="O100" i="2" s="1"/>
  <c r="M102" i="2"/>
  <c r="P102" i="2" s="1"/>
  <c r="N102" i="2"/>
  <c r="N100" i="2" s="1"/>
  <c r="T102" i="2"/>
  <c r="U102" i="2"/>
  <c r="I108" i="2"/>
  <c r="I92" i="2" s="1"/>
  <c r="K92" i="2" s="1"/>
  <c r="I109" i="2"/>
  <c r="I114" i="2"/>
  <c r="K114" i="2" s="1"/>
  <c r="J116" i="2"/>
  <c r="L118" i="2"/>
  <c r="M118" i="2"/>
  <c r="P118" i="2" s="1"/>
  <c r="N118" i="2"/>
  <c r="O118" i="2"/>
  <c r="Q118" i="2"/>
  <c r="T118" i="2" s="1"/>
  <c r="R118" i="2"/>
  <c r="S118" i="2"/>
  <c r="O121" i="2"/>
  <c r="P121" i="2"/>
  <c r="T121" i="2"/>
  <c r="U121" i="2"/>
  <c r="L122" i="2"/>
  <c r="M122" i="2"/>
  <c r="P122" i="2" s="1"/>
  <c r="N122" i="2"/>
  <c r="N120" i="2" s="1"/>
  <c r="Q122" i="2"/>
  <c r="Q119" i="2" s="1"/>
  <c r="Q117" i="2" s="1"/>
  <c r="R122" i="2"/>
  <c r="R119" i="2" s="1"/>
  <c r="S122" i="2"/>
  <c r="S120" i="2" s="1"/>
  <c r="Q123" i="2"/>
  <c r="T123" i="2" s="1"/>
  <c r="R123" i="2"/>
  <c r="U123" i="2" s="1"/>
  <c r="S123" i="2"/>
  <c r="O124" i="2"/>
  <c r="P124" i="2"/>
  <c r="T124" i="2"/>
  <c r="U124" i="2"/>
  <c r="L125" i="2"/>
  <c r="L123" i="2" s="1"/>
  <c r="O123" i="2" s="1"/>
  <c r="M125" i="2"/>
  <c r="P125" i="2" s="1"/>
  <c r="N125" i="2"/>
  <c r="N123" i="2" s="1"/>
  <c r="T125" i="2"/>
  <c r="U125" i="2"/>
  <c r="I127" i="2"/>
  <c r="I128" i="2"/>
  <c r="K128" i="2" s="1"/>
  <c r="I129" i="2"/>
  <c r="K129" i="2" s="1"/>
  <c r="I130" i="2"/>
  <c r="K130" i="2" s="1"/>
  <c r="J136" i="2"/>
  <c r="J137" i="2"/>
  <c r="J138" i="2"/>
  <c r="L140" i="2"/>
  <c r="M140" i="2"/>
  <c r="P140" i="2" s="1"/>
  <c r="N140" i="2"/>
  <c r="O140" i="2"/>
  <c r="Q140" i="2"/>
  <c r="T140" i="2" s="1"/>
  <c r="R140" i="2"/>
  <c r="S140" i="2"/>
  <c r="U140" i="2"/>
  <c r="O143" i="2"/>
  <c r="P143" i="2"/>
  <c r="T143" i="2"/>
  <c r="U143" i="2"/>
  <c r="L144" i="2"/>
  <c r="M144" i="2"/>
  <c r="P144" i="2" s="1"/>
  <c r="N144" i="2"/>
  <c r="Q144" i="2"/>
  <c r="R144" i="2"/>
  <c r="S144" i="2"/>
  <c r="Q145" i="2"/>
  <c r="T145" i="2" s="1"/>
  <c r="R145" i="2"/>
  <c r="S145" i="2"/>
  <c r="U145" i="2"/>
  <c r="O146" i="2"/>
  <c r="P146" i="2"/>
  <c r="T146" i="2"/>
  <c r="U146" i="2"/>
  <c r="L147" i="2"/>
  <c r="L145" i="2" s="1"/>
  <c r="O145" i="2" s="1"/>
  <c r="M147" i="2"/>
  <c r="P147" i="2" s="1"/>
  <c r="N147" i="2"/>
  <c r="N145" i="2" s="1"/>
  <c r="T147" i="2"/>
  <c r="U147" i="2"/>
  <c r="I150" i="2"/>
  <c r="K150" i="2" s="1"/>
  <c r="I151" i="2"/>
  <c r="K151" i="2" s="1"/>
  <c r="I152" i="2"/>
  <c r="I137" i="2" s="1"/>
  <c r="K137" i="2" s="1"/>
  <c r="I153" i="2"/>
  <c r="K153" i="2" s="1"/>
  <c r="I154" i="2"/>
  <c r="J156" i="2"/>
  <c r="L158" i="2"/>
  <c r="O158" i="2" s="1"/>
  <c r="M158" i="2"/>
  <c r="N158" i="2"/>
  <c r="P158" i="2"/>
  <c r="Q158" i="2"/>
  <c r="T158" i="2" s="1"/>
  <c r="R158" i="2"/>
  <c r="U158" i="2" s="1"/>
  <c r="S158" i="2"/>
  <c r="O161" i="2"/>
  <c r="P161" i="2"/>
  <c r="T161" i="2"/>
  <c r="U161" i="2"/>
  <c r="L162" i="2"/>
  <c r="L160" i="2" s="1"/>
  <c r="O160" i="2" s="1"/>
  <c r="M162" i="2"/>
  <c r="N162" i="2"/>
  <c r="N160" i="2" s="1"/>
  <c r="Q162" i="2"/>
  <c r="R162" i="2"/>
  <c r="R160" i="2" s="1"/>
  <c r="U160" i="2" s="1"/>
  <c r="S162" i="2"/>
  <c r="S160" i="2" s="1"/>
  <c r="Q163" i="2"/>
  <c r="R163" i="2"/>
  <c r="U163" i="2" s="1"/>
  <c r="S163" i="2"/>
  <c r="T163" i="2"/>
  <c r="O164" i="2"/>
  <c r="P164" i="2"/>
  <c r="T164" i="2"/>
  <c r="U164" i="2"/>
  <c r="L165" i="2"/>
  <c r="M165" i="2"/>
  <c r="P165" i="2" s="1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M174" i="2"/>
  <c r="N174" i="2"/>
  <c r="O174" i="2"/>
  <c r="Q174" i="2"/>
  <c r="T174" i="2" s="1"/>
  <c r="R174" i="2"/>
  <c r="S174" i="2"/>
  <c r="U174" i="2"/>
  <c r="O177" i="2"/>
  <c r="P177" i="2"/>
  <c r="T177" i="2"/>
  <c r="U177" i="2"/>
  <c r="L178" i="2"/>
  <c r="L176" i="2" s="1"/>
  <c r="M178" i="2"/>
  <c r="N178" i="2"/>
  <c r="Q178" i="2"/>
  <c r="Q176" i="2" s="1"/>
  <c r="T176" i="2" s="1"/>
  <c r="R178" i="2"/>
  <c r="R175" i="2" s="1"/>
  <c r="U175" i="2" s="1"/>
  <c r="S178" i="2"/>
  <c r="Q179" i="2"/>
  <c r="T179" i="2" s="1"/>
  <c r="R179" i="2"/>
  <c r="U179" i="2" s="1"/>
  <c r="S179" i="2"/>
  <c r="O180" i="2"/>
  <c r="P180" i="2"/>
  <c r="T180" i="2"/>
  <c r="U180" i="2"/>
  <c r="L181" i="2"/>
  <c r="L179" i="2" s="1"/>
  <c r="O179" i="2" s="1"/>
  <c r="M181" i="2"/>
  <c r="P181" i="2" s="1"/>
  <c r="N181" i="2"/>
  <c r="N179" i="2" s="1"/>
  <c r="T181" i="2"/>
  <c r="U181" i="2"/>
  <c r="I183" i="2"/>
  <c r="K183" i="2" s="1"/>
  <c r="K184" i="2"/>
  <c r="L187" i="2"/>
  <c r="M187" i="2"/>
  <c r="P187" i="2" s="1"/>
  <c r="N187" i="2"/>
  <c r="O187" i="2"/>
  <c r="Q187" i="2"/>
  <c r="T187" i="2" s="1"/>
  <c r="R187" i="2"/>
  <c r="S187" i="2"/>
  <c r="U187" i="2"/>
  <c r="O190" i="2"/>
  <c r="P190" i="2"/>
  <c r="T190" i="2"/>
  <c r="U190" i="2"/>
  <c r="L191" i="2"/>
  <c r="M191" i="2"/>
  <c r="N191" i="2"/>
  <c r="N189" i="2" s="1"/>
  <c r="Q191" i="2"/>
  <c r="Q188" i="2" s="1"/>
  <c r="R191" i="2"/>
  <c r="S191" i="2"/>
  <c r="S188" i="2" s="1"/>
  <c r="Q192" i="2"/>
  <c r="R192" i="2"/>
  <c r="U192" i="2" s="1"/>
  <c r="S192" i="2"/>
  <c r="T192" i="2"/>
  <c r="O193" i="2"/>
  <c r="P193" i="2"/>
  <c r="T193" i="2"/>
  <c r="U193" i="2"/>
  <c r="L194" i="2"/>
  <c r="M194" i="2"/>
  <c r="P194" i="2" s="1"/>
  <c r="N194" i="2"/>
  <c r="N192" i="2" s="1"/>
  <c r="T194" i="2"/>
  <c r="U194" i="2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N243" i="2"/>
  <c r="P243" i="2"/>
  <c r="L244" i="2"/>
  <c r="L245" i="2"/>
  <c r="L246" i="2"/>
  <c r="L247" i="2"/>
  <c r="I249" i="2"/>
  <c r="K251" i="2"/>
  <c r="K252" i="2"/>
  <c r="J253" i="2"/>
  <c r="N254" i="2"/>
  <c r="N232" i="2" s="1"/>
  <c r="P254" i="2"/>
  <c r="L255" i="2"/>
  <c r="L256" i="2"/>
  <c r="L257" i="2"/>
  <c r="L258" i="2"/>
  <c r="I260" i="2"/>
  <c r="K262" i="2"/>
  <c r="K263" i="2"/>
  <c r="J265" i="2"/>
  <c r="L267" i="2"/>
  <c r="M267" i="2"/>
  <c r="P267" i="2" s="1"/>
  <c r="N267" i="2"/>
  <c r="Q267" i="2"/>
  <c r="T267" i="2" s="1"/>
  <c r="R267" i="2"/>
  <c r="U267" i="2" s="1"/>
  <c r="S267" i="2"/>
  <c r="O270" i="2"/>
  <c r="P270" i="2"/>
  <c r="T270" i="2"/>
  <c r="U270" i="2"/>
  <c r="L271" i="2"/>
  <c r="M271" i="2"/>
  <c r="M269" i="2" s="1"/>
  <c r="N271" i="2"/>
  <c r="Q271" i="2"/>
  <c r="Q269" i="2" s="1"/>
  <c r="R271" i="2"/>
  <c r="R268" i="2" s="1"/>
  <c r="S271" i="2"/>
  <c r="Q272" i="2"/>
  <c r="T272" i="2" s="1"/>
  <c r="R272" i="2"/>
  <c r="S272" i="2"/>
  <c r="U272" i="2"/>
  <c r="O273" i="2"/>
  <c r="P273" i="2"/>
  <c r="T273" i="2"/>
  <c r="U273" i="2"/>
  <c r="L274" i="2"/>
  <c r="L272" i="2" s="1"/>
  <c r="O272" i="2" s="1"/>
  <c r="M274" i="2"/>
  <c r="N274" i="2"/>
  <c r="N272" i="2" s="1"/>
  <c r="T274" i="2"/>
  <c r="U274" i="2"/>
  <c r="I276" i="2"/>
  <c r="K276" i="2" s="1"/>
  <c r="J280" i="2"/>
  <c r="J281" i="2"/>
  <c r="Q282" i="2"/>
  <c r="T282" i="2" s="1"/>
  <c r="L283" i="2"/>
  <c r="M283" i="2"/>
  <c r="P283" i="2" s="1"/>
  <c r="N283" i="2"/>
  <c r="Q283" i="2"/>
  <c r="R283" i="2"/>
  <c r="S283" i="2"/>
  <c r="T283" i="2"/>
  <c r="Q284" i="2"/>
  <c r="T284" i="2" s="1"/>
  <c r="R284" i="2"/>
  <c r="U284" i="2" s="1"/>
  <c r="S284" i="2"/>
  <c r="Q285" i="2"/>
  <c r="R285" i="2"/>
  <c r="U285" i="2" s="1"/>
  <c r="S285" i="2"/>
  <c r="T285" i="2"/>
  <c r="O286" i="2"/>
  <c r="P286" i="2"/>
  <c r="T286" i="2"/>
  <c r="U286" i="2"/>
  <c r="L287" i="2"/>
  <c r="M287" i="2"/>
  <c r="M285" i="2" s="1"/>
  <c r="P285" i="2" s="1"/>
  <c r="N287" i="2"/>
  <c r="N285" i="2" s="1"/>
  <c r="T287" i="2"/>
  <c r="U287" i="2"/>
  <c r="Q288" i="2"/>
  <c r="T288" i="2" s="1"/>
  <c r="R288" i="2"/>
  <c r="S288" i="2"/>
  <c r="U288" i="2"/>
  <c r="O289" i="2"/>
  <c r="P289" i="2"/>
  <c r="T289" i="2"/>
  <c r="U289" i="2"/>
  <c r="L290" i="2"/>
  <c r="M290" i="2"/>
  <c r="P290" i="2" s="1"/>
  <c r="N290" i="2"/>
  <c r="N288" i="2" s="1"/>
  <c r="T290" i="2"/>
  <c r="U290" i="2"/>
  <c r="I292" i="2"/>
  <c r="I293" i="2"/>
  <c r="I280" i="2" s="1"/>
  <c r="K280" i="2" s="1"/>
  <c r="J293" i="2"/>
  <c r="I295" i="2"/>
  <c r="K295" i="2" s="1"/>
  <c r="I296" i="2"/>
  <c r="K296" i="2" s="1"/>
  <c r="J302" i="2"/>
  <c r="L304" i="2"/>
  <c r="O304" i="2" s="1"/>
  <c r="M304" i="2"/>
  <c r="N304" i="2"/>
  <c r="Q304" i="2"/>
  <c r="T304" i="2" s="1"/>
  <c r="R304" i="2"/>
  <c r="S304" i="2"/>
  <c r="U304" i="2"/>
  <c r="O307" i="2"/>
  <c r="P307" i="2"/>
  <c r="T307" i="2"/>
  <c r="U307" i="2"/>
  <c r="L308" i="2"/>
  <c r="L306" i="2" s="1"/>
  <c r="O306" i="2" s="1"/>
  <c r="M308" i="2"/>
  <c r="N308" i="2"/>
  <c r="N306" i="2" s="1"/>
  <c r="Q308" i="2"/>
  <c r="Q306" i="2" s="1"/>
  <c r="T306" i="2" s="1"/>
  <c r="R308" i="2"/>
  <c r="R305" i="2" s="1"/>
  <c r="U305" i="2" s="1"/>
  <c r="S308" i="2"/>
  <c r="S305" i="2" s="1"/>
  <c r="Q309" i="2"/>
  <c r="T309" i="2" s="1"/>
  <c r="R309" i="2"/>
  <c r="U309" i="2" s="1"/>
  <c r="S309" i="2"/>
  <c r="O310" i="2"/>
  <c r="P310" i="2"/>
  <c r="T310" i="2"/>
  <c r="U310" i="2"/>
  <c r="L311" i="2"/>
  <c r="M311" i="2"/>
  <c r="N311" i="2"/>
  <c r="N309" i="2" s="1"/>
  <c r="T311" i="2"/>
  <c r="U311" i="2"/>
  <c r="I314" i="2"/>
  <c r="I302" i="2" s="1"/>
  <c r="K302" i="2" s="1"/>
  <c r="J319" i="2"/>
  <c r="L321" i="2"/>
  <c r="O321" i="2" s="1"/>
  <c r="M321" i="2"/>
  <c r="N321" i="2"/>
  <c r="Q321" i="2"/>
  <c r="Q320" i="2" s="1"/>
  <c r="T320" i="2" s="1"/>
  <c r="R321" i="2"/>
  <c r="U321" i="2" s="1"/>
  <c r="S321" i="2"/>
  <c r="T321" i="2"/>
  <c r="Q322" i="2"/>
  <c r="R322" i="2"/>
  <c r="U322" i="2" s="1"/>
  <c r="S322" i="2"/>
  <c r="T322" i="2"/>
  <c r="Q323" i="2"/>
  <c r="T323" i="2" s="1"/>
  <c r="R323" i="2"/>
  <c r="S323" i="2"/>
  <c r="U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O328" i="2" s="1"/>
  <c r="M328" i="2"/>
  <c r="M326" i="2" s="1"/>
  <c r="P326" i="2" s="1"/>
  <c r="N328" i="2"/>
  <c r="N322" i="2" s="1"/>
  <c r="T328" i="2"/>
  <c r="U328" i="2"/>
  <c r="I330" i="2"/>
  <c r="K330" i="2" s="1"/>
  <c r="L334" i="2"/>
  <c r="O334" i="2" s="1"/>
  <c r="M334" i="2"/>
  <c r="P334" i="2" s="1"/>
  <c r="N334" i="2"/>
  <c r="Q334" i="2"/>
  <c r="R334" i="2"/>
  <c r="U334" i="2" s="1"/>
  <c r="S334" i="2"/>
  <c r="Q335" i="2"/>
  <c r="T335" i="2" s="1"/>
  <c r="R335" i="2"/>
  <c r="S335" i="2"/>
  <c r="U335" i="2"/>
  <c r="Q336" i="2"/>
  <c r="T336" i="2" s="1"/>
  <c r="R336" i="2"/>
  <c r="S336" i="2"/>
  <c r="U336" i="2"/>
  <c r="O337" i="2"/>
  <c r="P337" i="2"/>
  <c r="T337" i="2"/>
  <c r="U337" i="2"/>
  <c r="L338" i="2"/>
  <c r="L336" i="2" s="1"/>
  <c r="M338" i="2"/>
  <c r="N338" i="2"/>
  <c r="T338" i="2"/>
  <c r="U338" i="2"/>
  <c r="Q339" i="2"/>
  <c r="R339" i="2"/>
  <c r="U339" i="2" s="1"/>
  <c r="S339" i="2"/>
  <c r="T339" i="2"/>
  <c r="O340" i="2"/>
  <c r="P340" i="2"/>
  <c r="T340" i="2"/>
  <c r="U340" i="2"/>
  <c r="L341" i="2"/>
  <c r="O341" i="2" s="1"/>
  <c r="M341" i="2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S356" i="2"/>
  <c r="L357" i="2"/>
  <c r="M357" i="2"/>
  <c r="P357" i="2" s="1"/>
  <c r="N357" i="2"/>
  <c r="O357" i="2"/>
  <c r="Q357" i="2"/>
  <c r="T357" i="2" s="1"/>
  <c r="R357" i="2"/>
  <c r="R356" i="2" s="1"/>
  <c r="U356" i="2" s="1"/>
  <c r="S357" i="2"/>
  <c r="U357" i="2"/>
  <c r="Q358" i="2"/>
  <c r="T358" i="2" s="1"/>
  <c r="R358" i="2"/>
  <c r="U358" i="2" s="1"/>
  <c r="S358" i="2"/>
  <c r="Q359" i="2"/>
  <c r="T359" i="2" s="1"/>
  <c r="R359" i="2"/>
  <c r="U359" i="2" s="1"/>
  <c r="S359" i="2"/>
  <c r="O360" i="2"/>
  <c r="P360" i="2"/>
  <c r="T360" i="2"/>
  <c r="U360" i="2"/>
  <c r="L361" i="2"/>
  <c r="M361" i="2"/>
  <c r="M359" i="2" s="1"/>
  <c r="N361" i="2"/>
  <c r="N359" i="2" s="1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O364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O376" i="2" s="1"/>
  <c r="M376" i="2"/>
  <c r="P376" i="2" s="1"/>
  <c r="N376" i="2"/>
  <c r="N375" i="2" s="1"/>
  <c r="Q376" i="2"/>
  <c r="R376" i="2"/>
  <c r="U376" i="2" s="1"/>
  <c r="S376" i="2"/>
  <c r="L377" i="2"/>
  <c r="M377" i="2"/>
  <c r="P377" i="2" s="1"/>
  <c r="N377" i="2"/>
  <c r="L378" i="2"/>
  <c r="O378" i="2" s="1"/>
  <c r="M378" i="2"/>
  <c r="N378" i="2"/>
  <c r="P378" i="2"/>
  <c r="O379" i="2"/>
  <c r="P379" i="2"/>
  <c r="T379" i="2"/>
  <c r="U379" i="2"/>
  <c r="O380" i="2"/>
  <c r="P380" i="2"/>
  <c r="Q380" i="2"/>
  <c r="Q377" i="2" s="1"/>
  <c r="R380" i="2"/>
  <c r="R378" i="2" s="1"/>
  <c r="U378" i="2" s="1"/>
  <c r="S380" i="2"/>
  <c r="S378" i="2" s="1"/>
  <c r="L381" i="2"/>
  <c r="O381" i="2" s="1"/>
  <c r="M381" i="2"/>
  <c r="P381" i="2" s="1"/>
  <c r="N381" i="2"/>
  <c r="Q381" i="2"/>
  <c r="T381" i="2" s="1"/>
  <c r="R381" i="2"/>
  <c r="U381" i="2" s="1"/>
  <c r="S381" i="2"/>
  <c r="O382" i="2"/>
  <c r="P382" i="2"/>
  <c r="T382" i="2"/>
  <c r="U382" i="2"/>
  <c r="O383" i="2"/>
  <c r="P383" i="2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3" i="2"/>
  <c r="M393" i="2"/>
  <c r="N393" i="2"/>
  <c r="Q393" i="2"/>
  <c r="R393" i="2"/>
  <c r="S393" i="2"/>
  <c r="T393" i="2"/>
  <c r="L394" i="2"/>
  <c r="M394" i="2"/>
  <c r="P394" i="2" s="1"/>
  <c r="N394" i="2"/>
  <c r="O394" i="2"/>
  <c r="Q394" i="2"/>
  <c r="T394" i="2" s="1"/>
  <c r="R394" i="2"/>
  <c r="S394" i="2"/>
  <c r="U394" i="2"/>
  <c r="L395" i="2"/>
  <c r="O395" i="2" s="1"/>
  <c r="M395" i="2"/>
  <c r="N395" i="2"/>
  <c r="P395" i="2"/>
  <c r="Q395" i="2"/>
  <c r="T395" i="2" s="1"/>
  <c r="R395" i="2"/>
  <c r="U395" i="2" s="1"/>
  <c r="S395" i="2"/>
  <c r="O396" i="2"/>
  <c r="P396" i="2"/>
  <c r="T396" i="2"/>
  <c r="U396" i="2"/>
  <c r="O397" i="2"/>
  <c r="P397" i="2"/>
  <c r="T397" i="2"/>
  <c r="U397" i="2"/>
  <c r="L398" i="2"/>
  <c r="O398" i="2" s="1"/>
  <c r="M398" i="2"/>
  <c r="N398" i="2"/>
  <c r="P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N413" i="2"/>
  <c r="L414" i="2"/>
  <c r="M414" i="2"/>
  <c r="N414" i="2"/>
  <c r="P414" i="2"/>
  <c r="Q414" i="2"/>
  <c r="T414" i="2" s="1"/>
  <c r="R414" i="2"/>
  <c r="U414" i="2" s="1"/>
  <c r="S414" i="2"/>
  <c r="L415" i="2"/>
  <c r="O415" i="2" s="1"/>
  <c r="M415" i="2"/>
  <c r="P415" i="2" s="1"/>
  <c r="N415" i="2"/>
  <c r="L416" i="2"/>
  <c r="M416" i="2"/>
  <c r="P416" i="2" s="1"/>
  <c r="N416" i="2"/>
  <c r="O416" i="2"/>
  <c r="O417" i="2"/>
  <c r="P417" i="2"/>
  <c r="T417" i="2"/>
  <c r="U417" i="2"/>
  <c r="O418" i="2"/>
  <c r="P418" i="2"/>
  <c r="Q418" i="2"/>
  <c r="Q416" i="2" s="1"/>
  <c r="T416" i="2" s="1"/>
  <c r="R418" i="2"/>
  <c r="S418" i="2"/>
  <c r="S416" i="2" s="1"/>
  <c r="L419" i="2"/>
  <c r="O419" i="2" s="1"/>
  <c r="M419" i="2"/>
  <c r="N419" i="2"/>
  <c r="P419" i="2"/>
  <c r="Q419" i="2"/>
  <c r="T419" i="2" s="1"/>
  <c r="R419" i="2"/>
  <c r="U419" i="2" s="1"/>
  <c r="S419" i="2"/>
  <c r="O420" i="2"/>
  <c r="P420" i="2"/>
  <c r="T420" i="2"/>
  <c r="U420" i="2"/>
  <c r="O421" i="2"/>
  <c r="P421" i="2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J440" i="2"/>
  <c r="J423" i="2" s="1"/>
  <c r="J412" i="2" s="1"/>
  <c r="I441" i="2"/>
  <c r="K441" i="2" s="1"/>
  <c r="J446" i="2"/>
  <c r="J447" i="2"/>
  <c r="J441" i="2" s="1"/>
  <c r="I457" i="2"/>
  <c r="I456" i="2" s="1"/>
  <c r="K456" i="2" s="1"/>
  <c r="I458" i="2"/>
  <c r="K458" i="2" s="1"/>
  <c r="J459" i="2"/>
  <c r="J460" i="2"/>
  <c r="J467" i="2"/>
  <c r="J468" i="2"/>
  <c r="J475" i="2"/>
  <c r="K475" i="2"/>
  <c r="J476" i="2"/>
  <c r="K476" i="2"/>
  <c r="J477" i="2"/>
  <c r="K477" i="2"/>
  <c r="J482" i="2"/>
  <c r="J483" i="2"/>
  <c r="I484" i="2"/>
  <c r="J484" i="2"/>
  <c r="K484" i="2"/>
  <c r="I485" i="2"/>
  <c r="K485" i="2" s="1"/>
  <c r="J485" i="2"/>
  <c r="L494" i="2"/>
  <c r="M494" i="2"/>
  <c r="N494" i="2"/>
  <c r="N493" i="2" s="1"/>
  <c r="Q494" i="2"/>
  <c r="T494" i="2" s="1"/>
  <c r="R494" i="2"/>
  <c r="S494" i="2"/>
  <c r="U494" i="2"/>
  <c r="L495" i="2"/>
  <c r="M495" i="2"/>
  <c r="P495" i="2" s="1"/>
  <c r="N495" i="2"/>
  <c r="O495" i="2"/>
  <c r="L496" i="2"/>
  <c r="O496" i="2" s="1"/>
  <c r="M496" i="2"/>
  <c r="P496" i="2" s="1"/>
  <c r="N496" i="2"/>
  <c r="O497" i="2"/>
  <c r="P497" i="2"/>
  <c r="T497" i="2"/>
  <c r="U497" i="2"/>
  <c r="O498" i="2"/>
  <c r="P498" i="2"/>
  <c r="Q498" i="2"/>
  <c r="Q495" i="2" s="1"/>
  <c r="R498" i="2"/>
  <c r="S498" i="2"/>
  <c r="L499" i="2"/>
  <c r="O499" i="2" s="1"/>
  <c r="M499" i="2"/>
  <c r="N499" i="2"/>
  <c r="P499" i="2"/>
  <c r="Q499" i="2"/>
  <c r="R499" i="2"/>
  <c r="U499" i="2" s="1"/>
  <c r="S499" i="2"/>
  <c r="T499" i="2"/>
  <c r="O500" i="2"/>
  <c r="P500" i="2"/>
  <c r="T500" i="2"/>
  <c r="U500" i="2"/>
  <c r="O501" i="2"/>
  <c r="P501" i="2"/>
  <c r="T501" i="2"/>
  <c r="U501" i="2"/>
  <c r="I503" i="2"/>
  <c r="I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M514" i="2"/>
  <c r="N514" i="2"/>
  <c r="Q514" i="2"/>
  <c r="R514" i="2"/>
  <c r="S514" i="2"/>
  <c r="Q515" i="2"/>
  <c r="T515" i="2" s="1"/>
  <c r="R515" i="2"/>
  <c r="S515" i="2"/>
  <c r="U515" i="2"/>
  <c r="Q516" i="2"/>
  <c r="T516" i="2" s="1"/>
  <c r="R516" i="2"/>
  <c r="S516" i="2"/>
  <c r="U516" i="2"/>
  <c r="O517" i="2"/>
  <c r="P517" i="2"/>
  <c r="T517" i="2"/>
  <c r="U517" i="2"/>
  <c r="L518" i="2"/>
  <c r="O518" i="2" s="1"/>
  <c r="M518" i="2"/>
  <c r="N518" i="2"/>
  <c r="T518" i="2"/>
  <c r="U518" i="2"/>
  <c r="Q519" i="2"/>
  <c r="R519" i="2"/>
  <c r="U519" i="2" s="1"/>
  <c r="S519" i="2"/>
  <c r="T519" i="2"/>
  <c r="O520" i="2"/>
  <c r="P520" i="2"/>
  <c r="T520" i="2"/>
  <c r="U520" i="2"/>
  <c r="L521" i="2"/>
  <c r="M521" i="2"/>
  <c r="M519" i="2" s="1"/>
  <c r="P519" i="2" s="1"/>
  <c r="N521" i="2"/>
  <c r="N519" i="2" s="1"/>
  <c r="T521" i="2"/>
  <c r="U521" i="2"/>
  <c r="K523" i="2"/>
  <c r="K524" i="2"/>
  <c r="I533" i="2"/>
  <c r="K533" i="2" s="1"/>
  <c r="J533" i="2"/>
  <c r="L535" i="2"/>
  <c r="M535" i="2"/>
  <c r="N535" i="2"/>
  <c r="Q535" i="2"/>
  <c r="R535" i="2"/>
  <c r="S535" i="2"/>
  <c r="S534" i="2" s="1"/>
  <c r="L536" i="2"/>
  <c r="O536" i="2" s="1"/>
  <c r="M536" i="2"/>
  <c r="N536" i="2"/>
  <c r="P536" i="2"/>
  <c r="Q536" i="2"/>
  <c r="R536" i="2"/>
  <c r="U536" i="2" s="1"/>
  <c r="S536" i="2"/>
  <c r="T536" i="2"/>
  <c r="L537" i="2"/>
  <c r="O537" i="2" s="1"/>
  <c r="M537" i="2"/>
  <c r="P537" i="2" s="1"/>
  <c r="N537" i="2"/>
  <c r="Q537" i="2"/>
  <c r="T537" i="2" s="1"/>
  <c r="R537" i="2"/>
  <c r="U537" i="2" s="1"/>
  <c r="S537" i="2"/>
  <c r="O538" i="2"/>
  <c r="P538" i="2"/>
  <c r="T538" i="2"/>
  <c r="U538" i="2"/>
  <c r="O539" i="2"/>
  <c r="P539" i="2"/>
  <c r="T539" i="2"/>
  <c r="U539" i="2"/>
  <c r="L540" i="2"/>
  <c r="O540" i="2" s="1"/>
  <c r="M540" i="2"/>
  <c r="P540" i="2" s="1"/>
  <c r="N540" i="2"/>
  <c r="Q540" i="2"/>
  <c r="T540" i="2" s="1"/>
  <c r="R540" i="2"/>
  <c r="U540" i="2" s="1"/>
  <c r="S540" i="2"/>
  <c r="O541" i="2"/>
  <c r="P541" i="2"/>
  <c r="T541" i="2"/>
  <c r="U541" i="2"/>
  <c r="O542" i="2"/>
  <c r="P542" i="2"/>
  <c r="T542" i="2"/>
  <c r="U542" i="2"/>
  <c r="I554" i="2"/>
  <c r="J554" i="2"/>
  <c r="K554" i="2"/>
  <c r="L556" i="2"/>
  <c r="M556" i="2"/>
  <c r="P556" i="2" s="1"/>
  <c r="N556" i="2"/>
  <c r="Q556" i="2"/>
  <c r="R556" i="2"/>
  <c r="R555" i="2" s="1"/>
  <c r="U555" i="2" s="1"/>
  <c r="S556" i="2"/>
  <c r="L557" i="2"/>
  <c r="O557" i="2" s="1"/>
  <c r="M557" i="2"/>
  <c r="P557" i="2" s="1"/>
  <c r="N557" i="2"/>
  <c r="N555" i="2" s="1"/>
  <c r="Q557" i="2"/>
  <c r="T557" i="2" s="1"/>
  <c r="R557" i="2"/>
  <c r="S557" i="2"/>
  <c r="U557" i="2"/>
  <c r="L558" i="2"/>
  <c r="M558" i="2"/>
  <c r="P558" i="2" s="1"/>
  <c r="N558" i="2"/>
  <c r="O558" i="2"/>
  <c r="Q558" i="2"/>
  <c r="T558" i="2" s="1"/>
  <c r="R558" i="2"/>
  <c r="U558" i="2" s="1"/>
  <c r="S558" i="2"/>
  <c r="O559" i="2"/>
  <c r="P559" i="2"/>
  <c r="T559" i="2"/>
  <c r="U559" i="2"/>
  <c r="O560" i="2"/>
  <c r="P560" i="2"/>
  <c r="T560" i="2"/>
  <c r="U560" i="2"/>
  <c r="L561" i="2"/>
  <c r="O561" i="2" s="1"/>
  <c r="M561" i="2"/>
  <c r="N561" i="2"/>
  <c r="P561" i="2"/>
  <c r="Q561" i="2"/>
  <c r="T561" i="2" s="1"/>
  <c r="R561" i="2"/>
  <c r="S561" i="2"/>
  <c r="U561" i="2"/>
  <c r="O562" i="2"/>
  <c r="P562" i="2"/>
  <c r="T562" i="2"/>
  <c r="U562" i="2"/>
  <c r="O563" i="2"/>
  <c r="P563" i="2"/>
  <c r="T563" i="2"/>
  <c r="U563" i="2"/>
  <c r="I575" i="2"/>
  <c r="J575" i="2"/>
  <c r="K575" i="2"/>
  <c r="M576" i="2"/>
  <c r="P576" i="2" s="1"/>
  <c r="L577" i="2"/>
  <c r="M577" i="2"/>
  <c r="P577" i="2" s="1"/>
  <c r="N577" i="2"/>
  <c r="Q577" i="2"/>
  <c r="R577" i="2"/>
  <c r="S577" i="2"/>
  <c r="S576" i="2" s="1"/>
  <c r="L578" i="2"/>
  <c r="O578" i="2" s="1"/>
  <c r="M578" i="2"/>
  <c r="N578" i="2"/>
  <c r="N576" i="2" s="1"/>
  <c r="P578" i="2"/>
  <c r="Q578" i="2"/>
  <c r="R578" i="2"/>
  <c r="U578" i="2" s="1"/>
  <c r="S578" i="2"/>
  <c r="T578" i="2"/>
  <c r="L579" i="2"/>
  <c r="O579" i="2" s="1"/>
  <c r="M579" i="2"/>
  <c r="N579" i="2"/>
  <c r="P579" i="2"/>
  <c r="Q579" i="2"/>
  <c r="T579" i="2" s="1"/>
  <c r="R579" i="2"/>
  <c r="U579" i="2" s="1"/>
  <c r="S579" i="2"/>
  <c r="O580" i="2"/>
  <c r="P580" i="2"/>
  <c r="T580" i="2"/>
  <c r="U580" i="2"/>
  <c r="O581" i="2"/>
  <c r="P581" i="2"/>
  <c r="T581" i="2"/>
  <c r="U581" i="2"/>
  <c r="L582" i="2"/>
  <c r="O582" i="2" s="1"/>
  <c r="M582" i="2"/>
  <c r="P582" i="2" s="1"/>
  <c r="N582" i="2"/>
  <c r="Q582" i="2"/>
  <c r="T582" i="2" s="1"/>
  <c r="R582" i="2"/>
  <c r="U582" i="2" s="1"/>
  <c r="S582" i="2"/>
  <c r="O583" i="2"/>
  <c r="P583" i="2"/>
  <c r="T583" i="2"/>
  <c r="U583" i="2"/>
  <c r="O584" i="2"/>
  <c r="P584" i="2"/>
  <c r="T584" i="2"/>
  <c r="U584" i="2"/>
  <c r="M599" i="2"/>
  <c r="P599" i="2" s="1"/>
  <c r="L600" i="2"/>
  <c r="M600" i="2"/>
  <c r="P600" i="2" s="1"/>
  <c r="N600" i="2"/>
  <c r="Q600" i="2"/>
  <c r="R600" i="2"/>
  <c r="S600" i="2"/>
  <c r="S599" i="2" s="1"/>
  <c r="L601" i="2"/>
  <c r="O601" i="2" s="1"/>
  <c r="M601" i="2"/>
  <c r="N601" i="2"/>
  <c r="N599" i="2" s="1"/>
  <c r="P601" i="2"/>
  <c r="Q601" i="2"/>
  <c r="R601" i="2"/>
  <c r="U601" i="2" s="1"/>
  <c r="S601" i="2"/>
  <c r="T601" i="2"/>
  <c r="L602" i="2"/>
  <c r="O602" i="2" s="1"/>
  <c r="M602" i="2"/>
  <c r="P602" i="2" s="1"/>
  <c r="N602" i="2"/>
  <c r="Q602" i="2"/>
  <c r="T602" i="2" s="1"/>
  <c r="R602" i="2"/>
  <c r="U602" i="2" s="1"/>
  <c r="S602" i="2"/>
  <c r="O603" i="2"/>
  <c r="P603" i="2"/>
  <c r="T603" i="2"/>
  <c r="U603" i="2"/>
  <c r="O604" i="2"/>
  <c r="P604" i="2"/>
  <c r="T604" i="2"/>
  <c r="U604" i="2"/>
  <c r="L605" i="2"/>
  <c r="O605" i="2" s="1"/>
  <c r="M605" i="2"/>
  <c r="P605" i="2" s="1"/>
  <c r="N605" i="2"/>
  <c r="Q605" i="2"/>
  <c r="T605" i="2" s="1"/>
  <c r="R605" i="2"/>
  <c r="U605" i="2" s="1"/>
  <c r="S605" i="2"/>
  <c r="O606" i="2"/>
  <c r="P606" i="2"/>
  <c r="T606" i="2"/>
  <c r="U606" i="2"/>
  <c r="O607" i="2"/>
  <c r="P607" i="2"/>
  <c r="T607" i="2"/>
  <c r="U607" i="2"/>
  <c r="L617" i="2"/>
  <c r="O617" i="2" s="1"/>
  <c r="M617" i="2"/>
  <c r="N617" i="2"/>
  <c r="Q617" i="2"/>
  <c r="T617" i="2" s="1"/>
  <c r="R617" i="2"/>
  <c r="U617" i="2" s="1"/>
  <c r="S617" i="2"/>
  <c r="L618" i="2"/>
  <c r="O618" i="2" s="1"/>
  <c r="M618" i="2"/>
  <c r="P618" i="2" s="1"/>
  <c r="N618" i="2"/>
  <c r="N616" i="2" s="1"/>
  <c r="L619" i="2"/>
  <c r="M619" i="2"/>
  <c r="P619" i="2" s="1"/>
  <c r="N619" i="2"/>
  <c r="O619" i="2"/>
  <c r="O620" i="2"/>
  <c r="P620" i="2"/>
  <c r="T620" i="2"/>
  <c r="U620" i="2"/>
  <c r="O621" i="2"/>
  <c r="P621" i="2"/>
  <c r="Q621" i="2"/>
  <c r="R621" i="2"/>
  <c r="S621" i="2"/>
  <c r="S619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2" i="2" s="1"/>
  <c r="I627" i="2"/>
  <c r="K627" i="2" s="1"/>
  <c r="I628" i="2"/>
  <c r="K628" i="2" s="1"/>
  <c r="J632" i="2"/>
  <c r="J626" i="2" s="1"/>
  <c r="J615" i="2" s="1"/>
  <c r="I635" i="2"/>
  <c r="K635" i="2" s="1"/>
  <c r="J635" i="2"/>
  <c r="J636" i="2"/>
  <c r="L642" i="2"/>
  <c r="O642" i="2" s="1"/>
  <c r="L643" i="2"/>
  <c r="M643" i="2"/>
  <c r="P643" i="2" s="1"/>
  <c r="N643" i="2"/>
  <c r="N642" i="2" s="1"/>
  <c r="O643" i="2"/>
  <c r="Q643" i="2"/>
  <c r="T643" i="2" s="1"/>
  <c r="R643" i="2"/>
  <c r="S643" i="2"/>
  <c r="U643" i="2"/>
  <c r="L644" i="2"/>
  <c r="O644" i="2" s="1"/>
  <c r="M644" i="2"/>
  <c r="M642" i="2" s="1"/>
  <c r="P642" i="2" s="1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R647" i="2"/>
  <c r="U647" i="2" s="1"/>
  <c r="S647" i="2"/>
  <c r="S644" i="2" s="1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P691" i="2" s="1"/>
  <c r="N691" i="2"/>
  <c r="N690" i="2" s="1"/>
  <c r="Q691" i="2"/>
  <c r="R691" i="2"/>
  <c r="S691" i="2"/>
  <c r="T691" i="2"/>
  <c r="L692" i="2"/>
  <c r="O692" i="2" s="1"/>
  <c r="M692" i="2"/>
  <c r="N692" i="2"/>
  <c r="P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Q693" i="2" s="1"/>
  <c r="R695" i="2"/>
  <c r="S695" i="2"/>
  <c r="S692" i="2" s="1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K707" i="2" s="1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N715" i="2"/>
  <c r="Q715" i="2"/>
  <c r="R715" i="2"/>
  <c r="R714" i="2" s="1"/>
  <c r="U714" i="2" s="1"/>
  <c r="S715" i="2"/>
  <c r="T715" i="2"/>
  <c r="L716" i="2"/>
  <c r="M716" i="2"/>
  <c r="P716" i="2" s="1"/>
  <c r="N716" i="2"/>
  <c r="O716" i="2"/>
  <c r="Q716" i="2"/>
  <c r="R716" i="2"/>
  <c r="S716" i="2"/>
  <c r="U716" i="2"/>
  <c r="L717" i="2"/>
  <c r="O717" i="2" s="1"/>
  <c r="M717" i="2"/>
  <c r="P717" i="2" s="1"/>
  <c r="N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J726" i="2"/>
  <c r="I727" i="2"/>
  <c r="K727" i="2" s="1"/>
  <c r="J727" i="2"/>
  <c r="L728" i="2"/>
  <c r="O728" i="2" s="1"/>
  <c r="L729" i="2"/>
  <c r="M729" i="2"/>
  <c r="P729" i="2" s="1"/>
  <c r="N729" i="2"/>
  <c r="N728" i="2" s="1"/>
  <c r="O729" i="2"/>
  <c r="Q729" i="2"/>
  <c r="T729" i="2" s="1"/>
  <c r="R729" i="2"/>
  <c r="S729" i="2"/>
  <c r="U729" i="2"/>
  <c r="L730" i="2"/>
  <c r="M730" i="2"/>
  <c r="P730" i="2" s="1"/>
  <c r="N730" i="2"/>
  <c r="O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0" i="2" s="1"/>
  <c r="R733" i="2"/>
  <c r="S733" i="2"/>
  <c r="S730" i="2" s="1"/>
  <c r="L734" i="2"/>
  <c r="M734" i="2"/>
  <c r="P734" i="2" s="1"/>
  <c r="N734" i="2"/>
  <c r="O734" i="2"/>
  <c r="Q734" i="2"/>
  <c r="R734" i="2"/>
  <c r="S734" i="2"/>
  <c r="T734" i="2"/>
  <c r="U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N760" i="2"/>
  <c r="L761" i="2"/>
  <c r="M761" i="2"/>
  <c r="M760" i="2" s="1"/>
  <c r="P760" i="2" s="1"/>
  <c r="N761" i="2"/>
  <c r="O761" i="2"/>
  <c r="Q761" i="2"/>
  <c r="R761" i="2"/>
  <c r="S761" i="2"/>
  <c r="U761" i="2"/>
  <c r="L762" i="2"/>
  <c r="O762" i="2" s="1"/>
  <c r="M762" i="2"/>
  <c r="N762" i="2"/>
  <c r="P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R762" i="2" s="1"/>
  <c r="S765" i="2"/>
  <c r="S762" i="2" s="1"/>
  <c r="L766" i="2"/>
  <c r="M766" i="2"/>
  <c r="P766" i="2" s="1"/>
  <c r="N766" i="2"/>
  <c r="O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K772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J628" i="1"/>
  <c r="J627" i="1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P768" i="1" s="1"/>
  <c r="L768" i="1"/>
  <c r="O768" i="1" s="1"/>
  <c r="S767" i="1"/>
  <c r="R767" i="1"/>
  <c r="Q767" i="1"/>
  <c r="N767" i="1"/>
  <c r="M767" i="1"/>
  <c r="P767" i="1" s="1"/>
  <c r="L767" i="1"/>
  <c r="O767" i="1" s="1"/>
  <c r="S765" i="1"/>
  <c r="S762" i="1" s="1"/>
  <c r="R765" i="1"/>
  <c r="Q765" i="1"/>
  <c r="N765" i="1"/>
  <c r="M765" i="1"/>
  <c r="P765" i="1" s="1"/>
  <c r="L765" i="1"/>
  <c r="O765" i="1" s="1"/>
  <c r="S764" i="1"/>
  <c r="R764" i="1"/>
  <c r="U764" i="1" s="1"/>
  <c r="Q764" i="1"/>
  <c r="N764" i="1"/>
  <c r="M764" i="1"/>
  <c r="P764" i="1" s="1"/>
  <c r="L764" i="1"/>
  <c r="O764" i="1" s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R735" i="1"/>
  <c r="Q735" i="1"/>
  <c r="T735" i="1" s="1"/>
  <c r="N735" i="1"/>
  <c r="M735" i="1"/>
  <c r="L735" i="1"/>
  <c r="S733" i="1"/>
  <c r="R733" i="1"/>
  <c r="Q733" i="1"/>
  <c r="N733" i="1"/>
  <c r="N730" i="1" s="1"/>
  <c r="M733" i="1"/>
  <c r="L733" i="1"/>
  <c r="O733" i="1" s="1"/>
  <c r="S732" i="1"/>
  <c r="R732" i="1"/>
  <c r="U732" i="1" s="1"/>
  <c r="Q732" i="1"/>
  <c r="N732" i="1"/>
  <c r="N731" i="1" s="1"/>
  <c r="M732" i="1"/>
  <c r="P732" i="1" s="1"/>
  <c r="L732" i="1"/>
  <c r="O732" i="1" s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S716" i="1" s="1"/>
  <c r="R719" i="1"/>
  <c r="U719" i="1" s="1"/>
  <c r="Q719" i="1"/>
  <c r="T719" i="1" s="1"/>
  <c r="N719" i="1"/>
  <c r="M719" i="1"/>
  <c r="L719" i="1"/>
  <c r="O719" i="1" s="1"/>
  <c r="S718" i="1"/>
  <c r="R718" i="1"/>
  <c r="U718" i="1" s="1"/>
  <c r="Q718" i="1"/>
  <c r="T718" i="1" s="1"/>
  <c r="N718" i="1"/>
  <c r="M718" i="1"/>
  <c r="P718" i="1" s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N698" i="1"/>
  <c r="M698" i="1"/>
  <c r="P698" i="1" s="1"/>
  <c r="L698" i="1"/>
  <c r="O698" i="1" s="1"/>
  <c r="S697" i="1"/>
  <c r="R697" i="1"/>
  <c r="U697" i="1" s="1"/>
  <c r="Q697" i="1"/>
  <c r="T697" i="1" s="1"/>
  <c r="N697" i="1"/>
  <c r="M697" i="1"/>
  <c r="P697" i="1" s="1"/>
  <c r="L697" i="1"/>
  <c r="S695" i="1"/>
  <c r="R695" i="1"/>
  <c r="Q695" i="1"/>
  <c r="N695" i="1"/>
  <c r="M695" i="1"/>
  <c r="P695" i="1" s="1"/>
  <c r="L695" i="1"/>
  <c r="O695" i="1" s="1"/>
  <c r="S694" i="1"/>
  <c r="R694" i="1"/>
  <c r="Q694" i="1"/>
  <c r="T694" i="1" s="1"/>
  <c r="N694" i="1"/>
  <c r="M694" i="1"/>
  <c r="P694" i="1" s="1"/>
  <c r="L694" i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P650" i="1" s="1"/>
  <c r="L650" i="1"/>
  <c r="O650" i="1" s="1"/>
  <c r="S649" i="1"/>
  <c r="R649" i="1"/>
  <c r="Q649" i="1"/>
  <c r="T649" i="1" s="1"/>
  <c r="N649" i="1"/>
  <c r="M649" i="1"/>
  <c r="P649" i="1" s="1"/>
  <c r="L649" i="1"/>
  <c r="O649" i="1" s="1"/>
  <c r="S647" i="1"/>
  <c r="R647" i="1"/>
  <c r="Q647" i="1"/>
  <c r="N647" i="1"/>
  <c r="N644" i="1" s="1"/>
  <c r="M647" i="1"/>
  <c r="P647" i="1" s="1"/>
  <c r="L647" i="1"/>
  <c r="O647" i="1" s="1"/>
  <c r="S646" i="1"/>
  <c r="R646" i="1"/>
  <c r="Q646" i="1"/>
  <c r="T646" i="1" s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I628" i="1"/>
  <c r="I627" i="1"/>
  <c r="I626" i="1"/>
  <c r="S624" i="1"/>
  <c r="R624" i="1"/>
  <c r="U624" i="1" s="1"/>
  <c r="Q624" i="1"/>
  <c r="N624" i="1"/>
  <c r="M624" i="1"/>
  <c r="P624" i="1" s="1"/>
  <c r="L624" i="1"/>
  <c r="O624" i="1" s="1"/>
  <c r="S623" i="1"/>
  <c r="R623" i="1"/>
  <c r="Q623" i="1"/>
  <c r="T623" i="1" s="1"/>
  <c r="N623" i="1"/>
  <c r="M623" i="1"/>
  <c r="P623" i="1" s="1"/>
  <c r="L623" i="1"/>
  <c r="S621" i="1"/>
  <c r="R621" i="1"/>
  <c r="Q621" i="1"/>
  <c r="N621" i="1"/>
  <c r="M621" i="1"/>
  <c r="P621" i="1" s="1"/>
  <c r="L621" i="1"/>
  <c r="O621" i="1" s="1"/>
  <c r="S620" i="1"/>
  <c r="R620" i="1"/>
  <c r="Q620" i="1"/>
  <c r="T620" i="1" s="1"/>
  <c r="N620" i="1"/>
  <c r="M620" i="1"/>
  <c r="L620" i="1"/>
  <c r="S607" i="1"/>
  <c r="R607" i="1"/>
  <c r="U607" i="1" s="1"/>
  <c r="Q607" i="1"/>
  <c r="N607" i="1"/>
  <c r="M607" i="1"/>
  <c r="P607" i="1" s="1"/>
  <c r="L607" i="1"/>
  <c r="O607" i="1" s="1"/>
  <c r="S606" i="1"/>
  <c r="R606" i="1"/>
  <c r="R605" i="1" s="1"/>
  <c r="U605" i="1" s="1"/>
  <c r="Q606" i="1"/>
  <c r="T606" i="1" s="1"/>
  <c r="N606" i="1"/>
  <c r="N605" i="1" s="1"/>
  <c r="M606" i="1"/>
  <c r="P606" i="1" s="1"/>
  <c r="L606" i="1"/>
  <c r="S604" i="1"/>
  <c r="S601" i="1" s="1"/>
  <c r="R604" i="1"/>
  <c r="Q604" i="1"/>
  <c r="T604" i="1" s="1"/>
  <c r="N604" i="1"/>
  <c r="M604" i="1"/>
  <c r="P604" i="1" s="1"/>
  <c r="L604" i="1"/>
  <c r="O604" i="1" s="1"/>
  <c r="S603" i="1"/>
  <c r="R603" i="1"/>
  <c r="R600" i="1" s="1"/>
  <c r="Q603" i="1"/>
  <c r="T603" i="1" s="1"/>
  <c r="N603" i="1"/>
  <c r="M603" i="1"/>
  <c r="P603" i="1" s="1"/>
  <c r="L603" i="1"/>
  <c r="S584" i="1"/>
  <c r="R584" i="1"/>
  <c r="U584" i="1" s="1"/>
  <c r="Q584" i="1"/>
  <c r="T584" i="1" s="1"/>
  <c r="N584" i="1"/>
  <c r="M584" i="1"/>
  <c r="P584" i="1" s="1"/>
  <c r="L584" i="1"/>
  <c r="O584" i="1" s="1"/>
  <c r="S583" i="1"/>
  <c r="R583" i="1"/>
  <c r="U583" i="1" s="1"/>
  <c r="Q583" i="1"/>
  <c r="T583" i="1" s="1"/>
  <c r="N583" i="1"/>
  <c r="M583" i="1"/>
  <c r="P583" i="1" s="1"/>
  <c r="L583" i="1"/>
  <c r="S581" i="1"/>
  <c r="R581" i="1"/>
  <c r="U581" i="1" s="1"/>
  <c r="Q581" i="1"/>
  <c r="T581" i="1" s="1"/>
  <c r="N581" i="1"/>
  <c r="M581" i="1"/>
  <c r="P581" i="1" s="1"/>
  <c r="L581" i="1"/>
  <c r="O581" i="1" s="1"/>
  <c r="S580" i="1"/>
  <c r="S577" i="1" s="1"/>
  <c r="R580" i="1"/>
  <c r="U580" i="1" s="1"/>
  <c r="Q580" i="1"/>
  <c r="T580" i="1" s="1"/>
  <c r="N580" i="1"/>
  <c r="M580" i="1"/>
  <c r="L580" i="1"/>
  <c r="J575" i="1"/>
  <c r="I575" i="1"/>
  <c r="K575" i="1" s="1"/>
  <c r="S563" i="1"/>
  <c r="R563" i="1"/>
  <c r="U563" i="1" s="1"/>
  <c r="Q563" i="1"/>
  <c r="T563" i="1" s="1"/>
  <c r="N563" i="1"/>
  <c r="M563" i="1"/>
  <c r="P563" i="1" s="1"/>
  <c r="L563" i="1"/>
  <c r="O563" i="1" s="1"/>
  <c r="S562" i="1"/>
  <c r="R562" i="1"/>
  <c r="U562" i="1" s="1"/>
  <c r="Q562" i="1"/>
  <c r="N562" i="1"/>
  <c r="M562" i="1"/>
  <c r="P562" i="1" s="1"/>
  <c r="L562" i="1"/>
  <c r="O562" i="1" s="1"/>
  <c r="S560" i="1"/>
  <c r="R560" i="1"/>
  <c r="U560" i="1" s="1"/>
  <c r="Q560" i="1"/>
  <c r="N560" i="1"/>
  <c r="M560" i="1"/>
  <c r="P560" i="1" s="1"/>
  <c r="L560" i="1"/>
  <c r="O560" i="1" s="1"/>
  <c r="S559" i="1"/>
  <c r="R559" i="1"/>
  <c r="U559" i="1" s="1"/>
  <c r="Q559" i="1"/>
  <c r="T559" i="1" s="1"/>
  <c r="N559" i="1"/>
  <c r="N558" i="1" s="1"/>
  <c r="M559" i="1"/>
  <c r="L559" i="1"/>
  <c r="J554" i="1"/>
  <c r="I554" i="1"/>
  <c r="K554" i="1" s="1"/>
  <c r="S542" i="1"/>
  <c r="R542" i="1"/>
  <c r="U542" i="1" s="1"/>
  <c r="Q542" i="1"/>
  <c r="T542" i="1" s="1"/>
  <c r="N542" i="1"/>
  <c r="M542" i="1"/>
  <c r="P542" i="1" s="1"/>
  <c r="L542" i="1"/>
  <c r="O542" i="1" s="1"/>
  <c r="S541" i="1"/>
  <c r="R541" i="1"/>
  <c r="U541" i="1" s="1"/>
  <c r="Q541" i="1"/>
  <c r="T541" i="1" s="1"/>
  <c r="N541" i="1"/>
  <c r="M541" i="1"/>
  <c r="P541" i="1" s="1"/>
  <c r="L541" i="1"/>
  <c r="S539" i="1"/>
  <c r="R539" i="1"/>
  <c r="U539" i="1" s="1"/>
  <c r="Q539" i="1"/>
  <c r="T539" i="1" s="1"/>
  <c r="N539" i="1"/>
  <c r="M539" i="1"/>
  <c r="P539" i="1" s="1"/>
  <c r="L539" i="1"/>
  <c r="S538" i="1"/>
  <c r="R538" i="1"/>
  <c r="R537" i="1" s="1"/>
  <c r="U537" i="1" s="1"/>
  <c r="Q538" i="1"/>
  <c r="T538" i="1" s="1"/>
  <c r="N538" i="1"/>
  <c r="M538" i="1"/>
  <c r="P538" i="1" s="1"/>
  <c r="L538" i="1"/>
  <c r="J533" i="1"/>
  <c r="I533" i="1"/>
  <c r="K533" i="1" s="1"/>
  <c r="K524" i="1"/>
  <c r="K523" i="1"/>
  <c r="S521" i="1"/>
  <c r="R521" i="1"/>
  <c r="U521" i="1" s="1"/>
  <c r="Q521" i="1"/>
  <c r="T521" i="1" s="1"/>
  <c r="N521" i="1"/>
  <c r="M521" i="1"/>
  <c r="P521" i="1" s="1"/>
  <c r="L521" i="1"/>
  <c r="S520" i="1"/>
  <c r="S519" i="1" s="1"/>
  <c r="R520" i="1"/>
  <c r="U520" i="1" s="1"/>
  <c r="Q520" i="1"/>
  <c r="T520" i="1" s="1"/>
  <c r="N520" i="1"/>
  <c r="M520" i="1"/>
  <c r="P520" i="1" s="1"/>
  <c r="L520" i="1"/>
  <c r="O520" i="1" s="1"/>
  <c r="S518" i="1"/>
  <c r="R518" i="1"/>
  <c r="Q518" i="1"/>
  <c r="N518" i="1"/>
  <c r="M518" i="1"/>
  <c r="P518" i="1" s="1"/>
  <c r="L518" i="1"/>
  <c r="O518" i="1" s="1"/>
  <c r="S517" i="1"/>
  <c r="R517" i="1"/>
  <c r="Q517" i="1"/>
  <c r="T517" i="1" s="1"/>
  <c r="N517" i="1"/>
  <c r="M517" i="1"/>
  <c r="M516" i="1" s="1"/>
  <c r="P516" i="1" s="1"/>
  <c r="L517" i="1"/>
  <c r="O517" i="1" s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U501" i="1" s="1"/>
  <c r="Q501" i="1"/>
  <c r="T501" i="1" s="1"/>
  <c r="N501" i="1"/>
  <c r="M501" i="1"/>
  <c r="L501" i="1"/>
  <c r="O501" i="1" s="1"/>
  <c r="S500" i="1"/>
  <c r="S499" i="1" s="1"/>
  <c r="R500" i="1"/>
  <c r="Q500" i="1"/>
  <c r="T500" i="1" s="1"/>
  <c r="N500" i="1"/>
  <c r="M500" i="1"/>
  <c r="P500" i="1" s="1"/>
  <c r="L500" i="1"/>
  <c r="S498" i="1"/>
  <c r="S495" i="1" s="1"/>
  <c r="R498" i="1"/>
  <c r="Q498" i="1"/>
  <c r="N498" i="1"/>
  <c r="N495" i="1" s="1"/>
  <c r="M498" i="1"/>
  <c r="P498" i="1" s="1"/>
  <c r="L498" i="1"/>
  <c r="O498" i="1" s="1"/>
  <c r="S497" i="1"/>
  <c r="R497" i="1"/>
  <c r="R494" i="1" s="1"/>
  <c r="Q497" i="1"/>
  <c r="N497" i="1"/>
  <c r="M497" i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K441" i="1" s="1"/>
  <c r="I440" i="1"/>
  <c r="J439" i="1"/>
  <c r="J438" i="1"/>
  <c r="J437" i="1"/>
  <c r="J436" i="1"/>
  <c r="J435" i="1"/>
  <c r="J434" i="1"/>
  <c r="I433" i="1"/>
  <c r="K433" i="1" s="1"/>
  <c r="I432" i="1"/>
  <c r="K432" i="1" s="1"/>
  <c r="J431" i="1"/>
  <c r="J430" i="1"/>
  <c r="J429" i="1"/>
  <c r="J428" i="1"/>
  <c r="J427" i="1"/>
  <c r="J426" i="1"/>
  <c r="I425" i="1"/>
  <c r="K425" i="1" s="1"/>
  <c r="I424" i="1"/>
  <c r="K424" i="1" s="1"/>
  <c r="S421" i="1"/>
  <c r="R421" i="1"/>
  <c r="U421" i="1" s="1"/>
  <c r="Q421" i="1"/>
  <c r="N421" i="1"/>
  <c r="M421" i="1"/>
  <c r="P421" i="1" s="1"/>
  <c r="L421" i="1"/>
  <c r="O421" i="1" s="1"/>
  <c r="S420" i="1"/>
  <c r="R420" i="1"/>
  <c r="U420" i="1" s="1"/>
  <c r="Q420" i="1"/>
  <c r="N420" i="1"/>
  <c r="M420" i="1"/>
  <c r="P420" i="1" s="1"/>
  <c r="L420" i="1"/>
  <c r="O420" i="1" s="1"/>
  <c r="S418" i="1"/>
  <c r="R418" i="1"/>
  <c r="Q418" i="1"/>
  <c r="T418" i="1" s="1"/>
  <c r="N418" i="1"/>
  <c r="M418" i="1"/>
  <c r="P418" i="1" s="1"/>
  <c r="L418" i="1"/>
  <c r="L415" i="1" s="1"/>
  <c r="O415" i="1" s="1"/>
  <c r="S417" i="1"/>
  <c r="S414" i="1" s="1"/>
  <c r="R417" i="1"/>
  <c r="U417" i="1" s="1"/>
  <c r="Q417" i="1"/>
  <c r="T417" i="1" s="1"/>
  <c r="N417" i="1"/>
  <c r="M417" i="1"/>
  <c r="P417" i="1" s="1"/>
  <c r="L417" i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S398" i="1" s="1"/>
  <c r="R399" i="1"/>
  <c r="U399" i="1" s="1"/>
  <c r="Q399" i="1"/>
  <c r="N399" i="1"/>
  <c r="M399" i="1"/>
  <c r="P399" i="1" s="1"/>
  <c r="L399" i="1"/>
  <c r="O399" i="1" s="1"/>
  <c r="S397" i="1"/>
  <c r="R397" i="1"/>
  <c r="U397" i="1" s="1"/>
  <c r="Q397" i="1"/>
  <c r="T397" i="1" s="1"/>
  <c r="N397" i="1"/>
  <c r="N394" i="1" s="1"/>
  <c r="M397" i="1"/>
  <c r="M394" i="1" s="1"/>
  <c r="P394" i="1" s="1"/>
  <c r="L397" i="1"/>
  <c r="O397" i="1" s="1"/>
  <c r="S396" i="1"/>
  <c r="R396" i="1"/>
  <c r="Q396" i="1"/>
  <c r="N396" i="1"/>
  <c r="M396" i="1"/>
  <c r="P396" i="1" s="1"/>
  <c r="L396" i="1"/>
  <c r="O396" i="1" s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K385" i="1" s="1"/>
  <c r="S383" i="1"/>
  <c r="R383" i="1"/>
  <c r="U383" i="1" s="1"/>
  <c r="Q383" i="1"/>
  <c r="T383" i="1" s="1"/>
  <c r="N383" i="1"/>
  <c r="M383" i="1"/>
  <c r="P383" i="1" s="1"/>
  <c r="L383" i="1"/>
  <c r="O383" i="1" s="1"/>
  <c r="S382" i="1"/>
  <c r="R382" i="1"/>
  <c r="Q382" i="1"/>
  <c r="T382" i="1" s="1"/>
  <c r="N382" i="1"/>
  <c r="N381" i="1" s="1"/>
  <c r="M382" i="1"/>
  <c r="L382" i="1"/>
  <c r="L381" i="1" s="1"/>
  <c r="O381" i="1" s="1"/>
  <c r="S380" i="1"/>
  <c r="S377" i="1" s="1"/>
  <c r="R380" i="1"/>
  <c r="Q380" i="1"/>
  <c r="N380" i="1"/>
  <c r="M380" i="1"/>
  <c r="P380" i="1" s="1"/>
  <c r="L380" i="1"/>
  <c r="O380" i="1" s="1"/>
  <c r="S379" i="1"/>
  <c r="R379" i="1"/>
  <c r="Q379" i="1"/>
  <c r="T379" i="1" s="1"/>
  <c r="N379" i="1"/>
  <c r="M379" i="1"/>
  <c r="P379" i="1" s="1"/>
  <c r="L379" i="1"/>
  <c r="L378" i="1" s="1"/>
  <c r="O378" i="1" s="1"/>
  <c r="D373" i="1"/>
  <c r="K372" i="1"/>
  <c r="J372" i="1"/>
  <c r="J371" i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L364" i="1"/>
  <c r="S363" i="1"/>
  <c r="R363" i="1"/>
  <c r="U363" i="1" s="1"/>
  <c r="Q363" i="1"/>
  <c r="T363" i="1" s="1"/>
  <c r="N363" i="1"/>
  <c r="N362" i="1" s="1"/>
  <c r="M363" i="1"/>
  <c r="L363" i="1"/>
  <c r="O363" i="1" s="1"/>
  <c r="S361" i="1"/>
  <c r="R361" i="1"/>
  <c r="R358" i="1" s="1"/>
  <c r="Q361" i="1"/>
  <c r="T361" i="1" s="1"/>
  <c r="N361" i="1"/>
  <c r="M361" i="1"/>
  <c r="L361" i="1"/>
  <c r="L358" i="1" s="1"/>
  <c r="S360" i="1"/>
  <c r="R360" i="1"/>
  <c r="U360" i="1" s="1"/>
  <c r="Q360" i="1"/>
  <c r="T360" i="1" s="1"/>
  <c r="N360" i="1"/>
  <c r="M360" i="1"/>
  <c r="L360" i="1"/>
  <c r="O360" i="1" s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U341" i="1" s="1"/>
  <c r="Q341" i="1"/>
  <c r="T341" i="1" s="1"/>
  <c r="N341" i="1"/>
  <c r="M341" i="1"/>
  <c r="P341" i="1" s="1"/>
  <c r="L341" i="1"/>
  <c r="S340" i="1"/>
  <c r="R340" i="1"/>
  <c r="U340" i="1" s="1"/>
  <c r="Q340" i="1"/>
  <c r="T340" i="1" s="1"/>
  <c r="N340" i="1"/>
  <c r="M340" i="1"/>
  <c r="L340" i="1"/>
  <c r="O340" i="1" s="1"/>
  <c r="S338" i="1"/>
  <c r="R338" i="1"/>
  <c r="Q338" i="1"/>
  <c r="T338" i="1" s="1"/>
  <c r="N338" i="1"/>
  <c r="M338" i="1"/>
  <c r="L338" i="1"/>
  <c r="S337" i="1"/>
  <c r="R337" i="1"/>
  <c r="Q337" i="1"/>
  <c r="T337" i="1" s="1"/>
  <c r="N337" i="1"/>
  <c r="N336" i="1" s="1"/>
  <c r="M337" i="1"/>
  <c r="L337" i="1"/>
  <c r="O337" i="1" s="1"/>
  <c r="J330" i="1"/>
  <c r="J319" i="1" s="1"/>
  <c r="I330" i="1"/>
  <c r="I319" i="1" s="1"/>
  <c r="S328" i="1"/>
  <c r="R328" i="1"/>
  <c r="U328" i="1" s="1"/>
  <c r="Q328" i="1"/>
  <c r="T328" i="1" s="1"/>
  <c r="N328" i="1"/>
  <c r="M328" i="1"/>
  <c r="P328" i="1" s="1"/>
  <c r="L328" i="1"/>
  <c r="O328" i="1" s="1"/>
  <c r="S327" i="1"/>
  <c r="R327" i="1"/>
  <c r="U327" i="1" s="1"/>
  <c r="Q327" i="1"/>
  <c r="T327" i="1" s="1"/>
  <c r="N327" i="1"/>
  <c r="M327" i="1"/>
  <c r="L327" i="1"/>
  <c r="O327" i="1" s="1"/>
  <c r="S325" i="1"/>
  <c r="R325" i="1"/>
  <c r="R322" i="1" s="1"/>
  <c r="U322" i="1" s="1"/>
  <c r="Q325" i="1"/>
  <c r="N325" i="1"/>
  <c r="M325" i="1"/>
  <c r="L325" i="1"/>
  <c r="S324" i="1"/>
  <c r="R324" i="1"/>
  <c r="Q324" i="1"/>
  <c r="T324" i="1" s="1"/>
  <c r="N324" i="1"/>
  <c r="M324" i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N310" i="1"/>
  <c r="M310" i="1"/>
  <c r="P310" i="1" s="1"/>
  <c r="L310" i="1"/>
  <c r="S308" i="1"/>
  <c r="R308" i="1"/>
  <c r="Q308" i="1"/>
  <c r="N308" i="1"/>
  <c r="N305" i="1" s="1"/>
  <c r="M308" i="1"/>
  <c r="L308" i="1"/>
  <c r="S307" i="1"/>
  <c r="R307" i="1"/>
  <c r="Q307" i="1"/>
  <c r="N307" i="1"/>
  <c r="M307" i="1"/>
  <c r="L307" i="1"/>
  <c r="J296" i="1"/>
  <c r="I296" i="1"/>
  <c r="J295" i="1"/>
  <c r="I295" i="1"/>
  <c r="J293" i="1"/>
  <c r="J280" i="1" s="1"/>
  <c r="I293" i="1"/>
  <c r="I280" i="1" s="1"/>
  <c r="J292" i="1"/>
  <c r="J281" i="1" s="1"/>
  <c r="I292" i="1"/>
  <c r="S290" i="1"/>
  <c r="R290" i="1"/>
  <c r="U290" i="1" s="1"/>
  <c r="Q290" i="1"/>
  <c r="N290" i="1"/>
  <c r="M290" i="1"/>
  <c r="P290" i="1" s="1"/>
  <c r="L290" i="1"/>
  <c r="S289" i="1"/>
  <c r="R289" i="1"/>
  <c r="U289" i="1" s="1"/>
  <c r="Q289" i="1"/>
  <c r="T289" i="1" s="1"/>
  <c r="N289" i="1"/>
  <c r="M289" i="1"/>
  <c r="L289" i="1"/>
  <c r="O289" i="1" s="1"/>
  <c r="S287" i="1"/>
  <c r="R287" i="1"/>
  <c r="R284" i="1" s="1"/>
  <c r="U284" i="1" s="1"/>
  <c r="Q287" i="1"/>
  <c r="T287" i="1" s="1"/>
  <c r="N287" i="1"/>
  <c r="M287" i="1"/>
  <c r="L287" i="1"/>
  <c r="S286" i="1"/>
  <c r="R286" i="1"/>
  <c r="U286" i="1" s="1"/>
  <c r="Q286" i="1"/>
  <c r="T286" i="1" s="1"/>
  <c r="N286" i="1"/>
  <c r="M286" i="1"/>
  <c r="P286" i="1" s="1"/>
  <c r="L286" i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R273" i="1"/>
  <c r="Q273" i="1"/>
  <c r="N273" i="1"/>
  <c r="M273" i="1"/>
  <c r="L273" i="1"/>
  <c r="S271" i="1"/>
  <c r="R271" i="1"/>
  <c r="Q271" i="1"/>
  <c r="N271" i="1"/>
  <c r="M271" i="1"/>
  <c r="L271" i="1"/>
  <c r="O271" i="1" s="1"/>
  <c r="S270" i="1"/>
  <c r="R270" i="1"/>
  <c r="U270" i="1" s="1"/>
  <c r="Q270" i="1"/>
  <c r="T270" i="1" s="1"/>
  <c r="N270" i="1"/>
  <c r="M270" i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Q232" i="1" s="1"/>
  <c r="N233" i="1"/>
  <c r="N232" i="1" s="1"/>
  <c r="M233" i="1"/>
  <c r="L233" i="1"/>
  <c r="L232" i="1" s="1"/>
  <c r="J231" i="1"/>
  <c r="I231" i="1"/>
  <c r="K231" i="1" s="1"/>
  <c r="J230" i="1"/>
  <c r="J185" i="1" s="1"/>
  <c r="I230" i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Q222" i="1" s="1"/>
  <c r="N223" i="1"/>
  <c r="M223" i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S214" i="1" s="1"/>
  <c r="R215" i="1"/>
  <c r="Q215" i="1"/>
  <c r="N215" i="1"/>
  <c r="M215" i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Q203" i="1" s="1"/>
  <c r="N204" i="1"/>
  <c r="N203" i="1" s="1"/>
  <c r="M204" i="1"/>
  <c r="L204" i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Q193" i="1"/>
  <c r="T193" i="1" s="1"/>
  <c r="N193" i="1"/>
  <c r="N192" i="1" s="1"/>
  <c r="M193" i="1"/>
  <c r="P193" i="1" s="1"/>
  <c r="L193" i="1"/>
  <c r="S191" i="1"/>
  <c r="R191" i="1"/>
  <c r="Q191" i="1"/>
  <c r="N191" i="1"/>
  <c r="N188" i="1" s="1"/>
  <c r="M191" i="1"/>
  <c r="L191" i="1"/>
  <c r="S190" i="1"/>
  <c r="R190" i="1"/>
  <c r="Q190" i="1"/>
  <c r="N190" i="1"/>
  <c r="N187" i="1" s="1"/>
  <c r="N186" i="1" s="1"/>
  <c r="M190" i="1"/>
  <c r="P190" i="1" s="1"/>
  <c r="L190" i="1"/>
  <c r="L189" i="1" s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T180" i="1" s="1"/>
  <c r="N180" i="1"/>
  <c r="M180" i="1"/>
  <c r="L180" i="1"/>
  <c r="O180" i="1" s="1"/>
  <c r="S178" i="1"/>
  <c r="R178" i="1"/>
  <c r="U178" i="1" s="1"/>
  <c r="Q178" i="1"/>
  <c r="T178" i="1" s="1"/>
  <c r="N178" i="1"/>
  <c r="M178" i="1"/>
  <c r="L178" i="1"/>
  <c r="L175" i="1" s="1"/>
  <c r="S177" i="1"/>
  <c r="R177" i="1"/>
  <c r="U177" i="1" s="1"/>
  <c r="Q177" i="1"/>
  <c r="T177" i="1" s="1"/>
  <c r="N177" i="1"/>
  <c r="M177" i="1"/>
  <c r="L177" i="1"/>
  <c r="O177" i="1" s="1"/>
  <c r="J167" i="1"/>
  <c r="I167" i="1"/>
  <c r="I168" i="1" s="1"/>
  <c r="S165" i="1"/>
  <c r="R165" i="1"/>
  <c r="U165" i="1" s="1"/>
  <c r="Q165" i="1"/>
  <c r="T165" i="1" s="1"/>
  <c r="N165" i="1"/>
  <c r="M165" i="1"/>
  <c r="L165" i="1"/>
  <c r="O165" i="1" s="1"/>
  <c r="S164" i="1"/>
  <c r="R164" i="1"/>
  <c r="U164" i="1" s="1"/>
  <c r="Q164" i="1"/>
  <c r="N164" i="1"/>
  <c r="M164" i="1"/>
  <c r="P164" i="1" s="1"/>
  <c r="L164" i="1"/>
  <c r="O164" i="1" s="1"/>
  <c r="S162" i="1"/>
  <c r="R162" i="1"/>
  <c r="U162" i="1" s="1"/>
  <c r="Q162" i="1"/>
  <c r="T162" i="1" s="1"/>
  <c r="N162" i="1"/>
  <c r="N159" i="1" s="1"/>
  <c r="M162" i="1"/>
  <c r="L162" i="1"/>
  <c r="S161" i="1"/>
  <c r="R161" i="1"/>
  <c r="U161" i="1" s="1"/>
  <c r="Q161" i="1"/>
  <c r="N161" i="1"/>
  <c r="M161" i="1"/>
  <c r="L161" i="1"/>
  <c r="O161" i="1" s="1"/>
  <c r="J156" i="1"/>
  <c r="J154" i="1"/>
  <c r="J136" i="1" s="1"/>
  <c r="I154" i="1"/>
  <c r="I136" i="1" s="1"/>
  <c r="J153" i="1"/>
  <c r="J138" i="1" s="1"/>
  <c r="I153" i="1"/>
  <c r="J152" i="1"/>
  <c r="I152" i="1"/>
  <c r="I137" i="1" s="1"/>
  <c r="J151" i="1"/>
  <c r="I151" i="1"/>
  <c r="J150" i="1"/>
  <c r="I150" i="1"/>
  <c r="J149" i="1"/>
  <c r="S147" i="1"/>
  <c r="R147" i="1"/>
  <c r="Q147" i="1"/>
  <c r="T147" i="1" s="1"/>
  <c r="N147" i="1"/>
  <c r="M147" i="1"/>
  <c r="P147" i="1" s="1"/>
  <c r="L147" i="1"/>
  <c r="O147" i="1" s="1"/>
  <c r="S146" i="1"/>
  <c r="R146" i="1"/>
  <c r="Q146" i="1"/>
  <c r="T146" i="1" s="1"/>
  <c r="N146" i="1"/>
  <c r="M146" i="1"/>
  <c r="P146" i="1" s="1"/>
  <c r="L146" i="1"/>
  <c r="S144" i="1"/>
  <c r="S141" i="1" s="1"/>
  <c r="R144" i="1"/>
  <c r="U144" i="1" s="1"/>
  <c r="Q144" i="1"/>
  <c r="N144" i="1"/>
  <c r="N141" i="1" s="1"/>
  <c r="M144" i="1"/>
  <c r="M141" i="1" s="1"/>
  <c r="L144" i="1"/>
  <c r="S143" i="1"/>
  <c r="R143" i="1"/>
  <c r="Q143" i="1"/>
  <c r="T143" i="1" s="1"/>
  <c r="N143" i="1"/>
  <c r="N140" i="1" s="1"/>
  <c r="M143" i="1"/>
  <c r="P143" i="1" s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N125" i="1"/>
  <c r="M125" i="1"/>
  <c r="P125" i="1" s="1"/>
  <c r="L125" i="1"/>
  <c r="S124" i="1"/>
  <c r="R124" i="1"/>
  <c r="Q124" i="1"/>
  <c r="T124" i="1" s="1"/>
  <c r="N124" i="1"/>
  <c r="M124" i="1"/>
  <c r="P124" i="1" s="1"/>
  <c r="L124" i="1"/>
  <c r="O124" i="1" s="1"/>
  <c r="S122" i="1"/>
  <c r="R122" i="1"/>
  <c r="Q122" i="1"/>
  <c r="N122" i="1"/>
  <c r="M122" i="1"/>
  <c r="L122" i="1"/>
  <c r="S121" i="1"/>
  <c r="R121" i="1"/>
  <c r="U121" i="1" s="1"/>
  <c r="Q121" i="1"/>
  <c r="N121" i="1"/>
  <c r="M121" i="1"/>
  <c r="P121" i="1" s="1"/>
  <c r="L121" i="1"/>
  <c r="O121" i="1" s="1"/>
  <c r="J114" i="1"/>
  <c r="I114" i="1"/>
  <c r="J113" i="1"/>
  <c r="I113" i="1"/>
  <c r="J109" i="1"/>
  <c r="J93" i="1" s="1"/>
  <c r="I109" i="1"/>
  <c r="J108" i="1"/>
  <c r="J92" i="1" s="1"/>
  <c r="I108" i="1"/>
  <c r="S102" i="1"/>
  <c r="R102" i="1"/>
  <c r="U102" i="1" s="1"/>
  <c r="Q102" i="1"/>
  <c r="T102" i="1" s="1"/>
  <c r="N102" i="1"/>
  <c r="M102" i="1"/>
  <c r="P102" i="1" s="1"/>
  <c r="L102" i="1"/>
  <c r="S101" i="1"/>
  <c r="R101" i="1"/>
  <c r="Q101" i="1"/>
  <c r="T101" i="1" s="1"/>
  <c r="N101" i="1"/>
  <c r="M101" i="1"/>
  <c r="P101" i="1" s="1"/>
  <c r="L101" i="1"/>
  <c r="S99" i="1"/>
  <c r="R99" i="1"/>
  <c r="Q99" i="1"/>
  <c r="N99" i="1"/>
  <c r="M99" i="1"/>
  <c r="P99" i="1" s="1"/>
  <c r="L99" i="1"/>
  <c r="O99" i="1" s="1"/>
  <c r="S98" i="1"/>
  <c r="S97" i="1" s="1"/>
  <c r="R98" i="1"/>
  <c r="Q98" i="1"/>
  <c r="T98" i="1" s="1"/>
  <c r="N98" i="1"/>
  <c r="N95" i="1" s="1"/>
  <c r="M98" i="1"/>
  <c r="L98" i="1"/>
  <c r="L95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S79" i="1"/>
  <c r="S78" i="1" s="1"/>
  <c r="R79" i="1"/>
  <c r="U79" i="1" s="1"/>
  <c r="Q79" i="1"/>
  <c r="T79" i="1" s="1"/>
  <c r="N79" i="1"/>
  <c r="M79" i="1"/>
  <c r="P79" i="1" s="1"/>
  <c r="L79" i="1"/>
  <c r="O79" i="1" s="1"/>
  <c r="S77" i="1"/>
  <c r="S74" i="1" s="1"/>
  <c r="R77" i="1"/>
  <c r="Q77" i="1"/>
  <c r="N77" i="1"/>
  <c r="N74" i="1" s="1"/>
  <c r="M77" i="1"/>
  <c r="L77" i="1"/>
  <c r="S76" i="1"/>
  <c r="R76" i="1"/>
  <c r="U76" i="1" s="1"/>
  <c r="Q76" i="1"/>
  <c r="T76" i="1" s="1"/>
  <c r="N76" i="1"/>
  <c r="N75" i="1" s="1"/>
  <c r="M76" i="1"/>
  <c r="P76" i="1" s="1"/>
  <c r="L76" i="1"/>
  <c r="O76" i="1" s="1"/>
  <c r="S67" i="1"/>
  <c r="R67" i="1"/>
  <c r="Q67" i="1"/>
  <c r="T67" i="1" s="1"/>
  <c r="N67" i="1"/>
  <c r="M67" i="1"/>
  <c r="P67" i="1" s="1"/>
  <c r="L67" i="1"/>
  <c r="S66" i="1"/>
  <c r="R66" i="1"/>
  <c r="U66" i="1" s="1"/>
  <c r="Q66" i="1"/>
  <c r="T66" i="1" s="1"/>
  <c r="N66" i="1"/>
  <c r="M66" i="1"/>
  <c r="L66" i="1"/>
  <c r="O66" i="1" s="1"/>
  <c r="S64" i="1"/>
  <c r="S61" i="1" s="1"/>
  <c r="R64" i="1"/>
  <c r="Q64" i="1"/>
  <c r="T64" i="1" s="1"/>
  <c r="N64" i="1"/>
  <c r="M64" i="1"/>
  <c r="L64" i="1"/>
  <c r="S63" i="1"/>
  <c r="R63" i="1"/>
  <c r="U63" i="1" s="1"/>
  <c r="Q63" i="1"/>
  <c r="N63" i="1"/>
  <c r="M63" i="1"/>
  <c r="P63" i="1" s="1"/>
  <c r="L63" i="1"/>
  <c r="S52" i="1"/>
  <c r="S50" i="1" s="1"/>
  <c r="R52" i="1"/>
  <c r="R50" i="1" s="1"/>
  <c r="U50" i="1" s="1"/>
  <c r="Q52" i="1"/>
  <c r="T52" i="1" s="1"/>
  <c r="N52" i="1"/>
  <c r="N50" i="1" s="1"/>
  <c r="M52" i="1"/>
  <c r="M50" i="1" s="1"/>
  <c r="P50" i="1" s="1"/>
  <c r="L52" i="1"/>
  <c r="L50" i="1" s="1"/>
  <c r="O50" i="1" s="1"/>
  <c r="U51" i="1"/>
  <c r="T51" i="1"/>
  <c r="P51" i="1"/>
  <c r="O51" i="1"/>
  <c r="S49" i="1"/>
  <c r="R49" i="1"/>
  <c r="R47" i="1" s="1"/>
  <c r="U47" i="1" s="1"/>
  <c r="Q49" i="1"/>
  <c r="T49" i="1" s="1"/>
  <c r="N49" i="1"/>
  <c r="N47" i="1" s="1"/>
  <c r="M49" i="1"/>
  <c r="M47" i="1" s="1"/>
  <c r="L49" i="1"/>
  <c r="L47" i="1" s="1"/>
  <c r="U48" i="1"/>
  <c r="T48" i="1"/>
  <c r="P48" i="1"/>
  <c r="O48" i="1"/>
  <c r="S45" i="1"/>
  <c r="R45" i="1"/>
  <c r="U45" i="1" s="1"/>
  <c r="Q45" i="1"/>
  <c r="T45" i="1" s="1"/>
  <c r="O45" i="1"/>
  <c r="N45" i="1"/>
  <c r="M45" i="1"/>
  <c r="P45" i="1" s="1"/>
  <c r="L45" i="1"/>
  <c r="S62" i="1" l="1"/>
  <c r="L214" i="1"/>
  <c r="M188" i="1"/>
  <c r="S192" i="1"/>
  <c r="L306" i="1"/>
  <c r="L643" i="1"/>
  <c r="M306" i="1"/>
  <c r="N536" i="1"/>
  <c r="S267" i="1"/>
  <c r="S622" i="1"/>
  <c r="N119" i="1"/>
  <c r="M203" i="1"/>
  <c r="N96" i="1"/>
  <c r="N123" i="1"/>
  <c r="Q494" i="1"/>
  <c r="T494" i="1" s="1"/>
  <c r="S692" i="1"/>
  <c r="S734" i="1"/>
  <c r="S203" i="1"/>
  <c r="S232" i="1"/>
  <c r="N395" i="1"/>
  <c r="S309" i="1"/>
  <c r="L74" i="1"/>
  <c r="S359" i="1"/>
  <c r="N716" i="1"/>
  <c r="Q304" i="1"/>
  <c r="L60" i="1"/>
  <c r="O60" i="1" s="1"/>
  <c r="N179" i="1"/>
  <c r="N175" i="1"/>
  <c r="S516" i="1"/>
  <c r="M74" i="1"/>
  <c r="Q188" i="1"/>
  <c r="S283" i="1"/>
  <c r="S378" i="1"/>
  <c r="R381" i="1"/>
  <c r="U381" i="1" s="1"/>
  <c r="S119" i="1"/>
  <c r="S175" i="1"/>
  <c r="R305" i="1"/>
  <c r="Q214" i="1"/>
  <c r="S358" i="1"/>
  <c r="S322" i="1"/>
  <c r="N326" i="1"/>
  <c r="S696" i="1"/>
  <c r="M61" i="1"/>
  <c r="P61" i="13"/>
  <c r="O61" i="15"/>
  <c r="M359" i="1"/>
  <c r="N339" i="1"/>
  <c r="K83" i="14"/>
  <c r="N335" i="1"/>
  <c r="S728" i="15"/>
  <c r="L192" i="1"/>
  <c r="O192" i="1" s="1"/>
  <c r="U94" i="13"/>
  <c r="M94" i="15"/>
  <c r="P94" i="15" s="1"/>
  <c r="O305" i="15"/>
  <c r="P305" i="15"/>
  <c r="T619" i="15"/>
  <c r="I70" i="15"/>
  <c r="K70" i="15" s="1"/>
  <c r="S494" i="1"/>
  <c r="S493" i="1" s="1"/>
  <c r="P322" i="13"/>
  <c r="U306" i="15"/>
  <c r="M232" i="1"/>
  <c r="N696" i="1"/>
  <c r="O333" i="15"/>
  <c r="U690" i="13"/>
  <c r="Q493" i="12"/>
  <c r="T493" i="12" s="1"/>
  <c r="P284" i="14"/>
  <c r="L305" i="1"/>
  <c r="O305" i="1" s="1"/>
  <c r="T269" i="15"/>
  <c r="U730" i="15"/>
  <c r="T189" i="14"/>
  <c r="U730" i="14"/>
  <c r="U269" i="12"/>
  <c r="O322" i="15"/>
  <c r="M94" i="9"/>
  <c r="P94" i="9" s="1"/>
  <c r="U616" i="14"/>
  <c r="U269" i="15"/>
  <c r="Q413" i="15"/>
  <c r="T413" i="15" s="1"/>
  <c r="U496" i="15"/>
  <c r="T377" i="15"/>
  <c r="M117" i="11"/>
  <c r="P117" i="11" s="1"/>
  <c r="U377" i="15"/>
  <c r="T306" i="15"/>
  <c r="T97" i="15"/>
  <c r="O359" i="15"/>
  <c r="T120" i="14"/>
  <c r="R186" i="11"/>
  <c r="U186" i="11" s="1"/>
  <c r="M117" i="14"/>
  <c r="P117" i="14" s="1"/>
  <c r="P358" i="10"/>
  <c r="O46" i="15"/>
  <c r="U305" i="11"/>
  <c r="K503" i="13"/>
  <c r="M305" i="1"/>
  <c r="R186" i="9"/>
  <c r="U186" i="9" s="1"/>
  <c r="T378" i="14"/>
  <c r="Q118" i="1"/>
  <c r="T118" i="1" s="1"/>
  <c r="L94" i="14"/>
  <c r="O94" i="14" s="1"/>
  <c r="U268" i="15"/>
  <c r="R728" i="13"/>
  <c r="U728" i="13" s="1"/>
  <c r="L266" i="13"/>
  <c r="O266" i="13" s="1"/>
  <c r="T97" i="14"/>
  <c r="K701" i="15"/>
  <c r="K83" i="15"/>
  <c r="Q173" i="15"/>
  <c r="T173" i="15" s="1"/>
  <c r="U690" i="15"/>
  <c r="M117" i="13"/>
  <c r="P117" i="13" s="1"/>
  <c r="T94" i="13"/>
  <c r="K374" i="14"/>
  <c r="P159" i="14"/>
  <c r="S159" i="1"/>
  <c r="P188" i="7"/>
  <c r="K701" i="11"/>
  <c r="U616" i="13"/>
  <c r="O74" i="15"/>
  <c r="U97" i="15"/>
  <c r="P157" i="15"/>
  <c r="T186" i="15"/>
  <c r="R375" i="15"/>
  <c r="U375" i="15" s="1"/>
  <c r="O141" i="15"/>
  <c r="K374" i="15"/>
  <c r="T305" i="11"/>
  <c r="O358" i="14"/>
  <c r="S323" i="1"/>
  <c r="T305" i="14"/>
  <c r="Q157" i="15"/>
  <c r="T157" i="15" s="1"/>
  <c r="L232" i="15"/>
  <c r="T762" i="9"/>
  <c r="Q173" i="14"/>
  <c r="T173" i="14" s="1"/>
  <c r="P358" i="14"/>
  <c r="L222" i="1"/>
  <c r="Q139" i="10"/>
  <c r="T139" i="10" s="1"/>
  <c r="I231" i="14"/>
  <c r="K231" i="14" s="1"/>
  <c r="L141" i="1"/>
  <c r="T378" i="13"/>
  <c r="R173" i="15"/>
  <c r="U173" i="15" s="1"/>
  <c r="O46" i="14"/>
  <c r="O188" i="13"/>
  <c r="Q760" i="14"/>
  <c r="T760" i="14" s="1"/>
  <c r="U97" i="14"/>
  <c r="P160" i="14"/>
  <c r="R413" i="15"/>
  <c r="U413" i="15" s="1"/>
  <c r="Q413" i="14"/>
  <c r="T413" i="14" s="1"/>
  <c r="T96" i="14"/>
  <c r="P160" i="15"/>
  <c r="T692" i="15"/>
  <c r="O62" i="15"/>
  <c r="R336" i="1"/>
  <c r="U336" i="1" s="1"/>
  <c r="U693" i="13"/>
  <c r="Q642" i="13"/>
  <c r="T642" i="13" s="1"/>
  <c r="O268" i="14"/>
  <c r="M157" i="14"/>
  <c r="P157" i="14" s="1"/>
  <c r="U72" i="15"/>
  <c r="L94" i="15"/>
  <c r="O94" i="15" s="1"/>
  <c r="L94" i="13"/>
  <c r="O94" i="13" s="1"/>
  <c r="O142" i="13"/>
  <c r="U186" i="13"/>
  <c r="K701" i="13"/>
  <c r="O160" i="15"/>
  <c r="M320" i="12"/>
  <c r="P320" i="12" s="1"/>
  <c r="S493" i="13"/>
  <c r="T493" i="13" s="1"/>
  <c r="R642" i="14"/>
  <c r="U642" i="14" s="1"/>
  <c r="S21" i="15"/>
  <c r="T72" i="15"/>
  <c r="M356" i="14"/>
  <c r="P356" i="14" s="1"/>
  <c r="O243" i="15"/>
  <c r="O282" i="15"/>
  <c r="M117" i="12"/>
  <c r="P117" i="12" s="1"/>
  <c r="T495" i="13"/>
  <c r="P323" i="13"/>
  <c r="P62" i="13"/>
  <c r="N44" i="15"/>
  <c r="O44" i="15" s="1"/>
  <c r="L303" i="15"/>
  <c r="O303" i="15" s="1"/>
  <c r="Q690" i="15"/>
  <c r="T690" i="15" s="1"/>
  <c r="M303" i="15"/>
  <c r="P303" i="15" s="1"/>
  <c r="P266" i="15"/>
  <c r="U189" i="13"/>
  <c r="U762" i="15"/>
  <c r="U618" i="7"/>
  <c r="P96" i="8"/>
  <c r="T378" i="12"/>
  <c r="T616" i="12"/>
  <c r="U306" i="13"/>
  <c r="P188" i="14"/>
  <c r="O61" i="14"/>
  <c r="R616" i="15"/>
  <c r="U616" i="15" s="1"/>
  <c r="P268" i="15"/>
  <c r="U693" i="15"/>
  <c r="T189" i="15"/>
  <c r="O141" i="14"/>
  <c r="O322" i="13"/>
  <c r="M24" i="15"/>
  <c r="P24" i="15" s="1"/>
  <c r="P186" i="15"/>
  <c r="K332" i="15"/>
  <c r="L139" i="15"/>
  <c r="O139" i="15" s="1"/>
  <c r="T728" i="15"/>
  <c r="T189" i="8"/>
  <c r="T97" i="13"/>
  <c r="U731" i="13"/>
  <c r="U97" i="13"/>
  <c r="O186" i="14"/>
  <c r="S94" i="14"/>
  <c r="T94" i="14" s="1"/>
  <c r="O186" i="15"/>
  <c r="U692" i="14"/>
  <c r="O284" i="15"/>
  <c r="M117" i="15"/>
  <c r="P117" i="15" s="1"/>
  <c r="U189" i="15"/>
  <c r="L44" i="14"/>
  <c r="O142" i="15"/>
  <c r="P159" i="15"/>
  <c r="U644" i="15"/>
  <c r="R642" i="15"/>
  <c r="U642" i="15" s="1"/>
  <c r="S304" i="1"/>
  <c r="M734" i="1"/>
  <c r="P734" i="1" s="1"/>
  <c r="T618" i="7"/>
  <c r="Q303" i="11"/>
  <c r="T303" i="11" s="1"/>
  <c r="P159" i="13"/>
  <c r="T119" i="14"/>
  <c r="T117" i="14"/>
  <c r="U305" i="14"/>
  <c r="R186" i="15"/>
  <c r="U186" i="15" s="1"/>
  <c r="L513" i="15"/>
  <c r="O513" i="15" s="1"/>
  <c r="Q616" i="15"/>
  <c r="T616" i="15" s="1"/>
  <c r="P19" i="15"/>
  <c r="P335" i="15"/>
  <c r="M333" i="15"/>
  <c r="P333" i="15" s="1"/>
  <c r="I71" i="7"/>
  <c r="K71" i="7" s="1"/>
  <c r="U693" i="12"/>
  <c r="L303" i="14"/>
  <c r="O303" i="14" s="1"/>
  <c r="M59" i="15"/>
  <c r="P61" i="15"/>
  <c r="T19" i="15"/>
  <c r="N72" i="15"/>
  <c r="O72" i="15" s="1"/>
  <c r="O173" i="15"/>
  <c r="P173" i="15"/>
  <c r="J492" i="15"/>
  <c r="K492" i="15" s="1"/>
  <c r="K503" i="15"/>
  <c r="T303" i="15"/>
  <c r="O358" i="15"/>
  <c r="L356" i="15"/>
  <c r="O356" i="15" s="1"/>
  <c r="T117" i="15"/>
  <c r="R21" i="15"/>
  <c r="R20" i="15"/>
  <c r="U23" i="15"/>
  <c r="S605" i="1"/>
  <c r="S619" i="1"/>
  <c r="M44" i="15"/>
  <c r="P46" i="15"/>
  <c r="R157" i="15"/>
  <c r="U157" i="15" s="1"/>
  <c r="U159" i="15"/>
  <c r="P266" i="8"/>
  <c r="O305" i="12"/>
  <c r="U266" i="13"/>
  <c r="I412" i="13"/>
  <c r="K412" i="13" s="1"/>
  <c r="T496" i="13"/>
  <c r="T120" i="13"/>
  <c r="Q493" i="14"/>
  <c r="T493" i="14" s="1"/>
  <c r="P176" i="14"/>
  <c r="L282" i="14"/>
  <c r="O282" i="14" s="1"/>
  <c r="U306" i="14"/>
  <c r="T117" i="13"/>
  <c r="Q20" i="15"/>
  <c r="T20" i="15" s="1"/>
  <c r="T23" i="15"/>
  <c r="Q21" i="15"/>
  <c r="M72" i="15"/>
  <c r="P74" i="15"/>
  <c r="P23" i="15"/>
  <c r="M20" i="15"/>
  <c r="M18" i="15" s="1"/>
  <c r="M21" i="15"/>
  <c r="U74" i="15"/>
  <c r="P141" i="15"/>
  <c r="M139" i="15"/>
  <c r="P139" i="15" s="1"/>
  <c r="O175" i="15"/>
  <c r="U303" i="15"/>
  <c r="U495" i="15"/>
  <c r="R493" i="15"/>
  <c r="U493" i="15" s="1"/>
  <c r="T692" i="14"/>
  <c r="P188" i="15"/>
  <c r="O188" i="15"/>
  <c r="P322" i="15"/>
  <c r="T119" i="15"/>
  <c r="N320" i="15"/>
  <c r="O320" i="15" s="1"/>
  <c r="I231" i="15"/>
  <c r="K242" i="15"/>
  <c r="T762" i="15"/>
  <c r="L117" i="15"/>
  <c r="O117" i="15" s="1"/>
  <c r="O119" i="15"/>
  <c r="N59" i="15"/>
  <c r="O59" i="15" s="1"/>
  <c r="Q375" i="15"/>
  <c r="T375" i="15" s="1"/>
  <c r="L24" i="15"/>
  <c r="O24" i="15" s="1"/>
  <c r="O26" i="15"/>
  <c r="M303" i="10"/>
  <c r="P303" i="10" s="1"/>
  <c r="L72" i="12"/>
  <c r="O72" i="12" s="1"/>
  <c r="L157" i="13"/>
  <c r="O157" i="13" s="1"/>
  <c r="N59" i="14"/>
  <c r="N40" i="14" s="1"/>
  <c r="P268" i="14"/>
  <c r="L513" i="14"/>
  <c r="O513" i="14" s="1"/>
  <c r="U618" i="14"/>
  <c r="U159" i="14"/>
  <c r="L72" i="14"/>
  <c r="O72" i="14" s="1"/>
  <c r="N21" i="15"/>
  <c r="N20" i="15"/>
  <c r="N18" i="15" s="1"/>
  <c r="L157" i="15"/>
  <c r="O157" i="15" s="1"/>
  <c r="O159" i="15"/>
  <c r="T74" i="15"/>
  <c r="P142" i="15"/>
  <c r="P284" i="15"/>
  <c r="M282" i="15"/>
  <c r="P282" i="15" s="1"/>
  <c r="M356" i="15"/>
  <c r="P356" i="15" s="1"/>
  <c r="P358" i="15"/>
  <c r="O335" i="15"/>
  <c r="P175" i="15"/>
  <c r="T760" i="15"/>
  <c r="R728" i="15"/>
  <c r="P336" i="15"/>
  <c r="R117" i="15"/>
  <c r="U117" i="15" s="1"/>
  <c r="U119" i="15"/>
  <c r="T730" i="10"/>
  <c r="M282" i="13"/>
  <c r="P282" i="13" s="1"/>
  <c r="U268" i="14"/>
  <c r="M513" i="14"/>
  <c r="P513" i="14" s="1"/>
  <c r="S690" i="14"/>
  <c r="U690" i="14" s="1"/>
  <c r="L21" i="15"/>
  <c r="L20" i="15"/>
  <c r="O23" i="15"/>
  <c r="O176" i="15"/>
  <c r="M513" i="15"/>
  <c r="P513" i="15" s="1"/>
  <c r="O268" i="15"/>
  <c r="L266" i="15"/>
  <c r="O266" i="15" s="1"/>
  <c r="U760" i="15"/>
  <c r="R232" i="1"/>
  <c r="S690" i="9"/>
  <c r="T690" i="9" s="1"/>
  <c r="T731" i="11"/>
  <c r="O335" i="13"/>
  <c r="P173" i="14"/>
  <c r="T119" i="13"/>
  <c r="U117" i="11"/>
  <c r="Q413" i="12"/>
  <c r="T413" i="12" s="1"/>
  <c r="P141" i="13"/>
  <c r="P175" i="13"/>
  <c r="O47" i="13"/>
  <c r="T619" i="13"/>
  <c r="M139" i="14"/>
  <c r="P139" i="14" s="1"/>
  <c r="T306" i="14"/>
  <c r="U269" i="13"/>
  <c r="R173" i="13"/>
  <c r="U173" i="13" s="1"/>
  <c r="O320" i="13"/>
  <c r="S21" i="14"/>
  <c r="I70" i="14"/>
  <c r="K70" i="14" s="1"/>
  <c r="S266" i="14"/>
  <c r="U266" i="14" s="1"/>
  <c r="U762" i="14"/>
  <c r="M139" i="10"/>
  <c r="P139" i="10" s="1"/>
  <c r="O175" i="13"/>
  <c r="K615" i="13"/>
  <c r="P173" i="13"/>
  <c r="M94" i="14"/>
  <c r="P94" i="14" s="1"/>
  <c r="O176" i="14"/>
  <c r="U303" i="14"/>
  <c r="P322" i="14"/>
  <c r="M320" i="14"/>
  <c r="P320" i="14" s="1"/>
  <c r="R203" i="1"/>
  <c r="M94" i="11"/>
  <c r="P94" i="11" s="1"/>
  <c r="T619" i="11"/>
  <c r="M24" i="14"/>
  <c r="P24" i="14" s="1"/>
  <c r="L356" i="14"/>
  <c r="O356" i="14" s="1"/>
  <c r="P175" i="14"/>
  <c r="P269" i="14"/>
  <c r="K423" i="10"/>
  <c r="Q139" i="13"/>
  <c r="T139" i="13" s="1"/>
  <c r="P23" i="14"/>
  <c r="M20" i="14"/>
  <c r="M21" i="14"/>
  <c r="L157" i="14"/>
  <c r="O157" i="14" s="1"/>
  <c r="O159" i="14"/>
  <c r="T119" i="11"/>
  <c r="T119" i="7"/>
  <c r="U188" i="8"/>
  <c r="T120" i="9"/>
  <c r="U730" i="10"/>
  <c r="L72" i="11"/>
  <c r="O72" i="11" s="1"/>
  <c r="U119" i="11"/>
  <c r="U619" i="11"/>
  <c r="L157" i="11"/>
  <c r="O157" i="11" s="1"/>
  <c r="T690" i="11"/>
  <c r="U189" i="11"/>
  <c r="Q173" i="12"/>
  <c r="T173" i="12" s="1"/>
  <c r="R642" i="12"/>
  <c r="U642" i="12" s="1"/>
  <c r="U120" i="13"/>
  <c r="L21" i="14"/>
  <c r="L20" i="14"/>
  <c r="O23" i="14"/>
  <c r="M333" i="14"/>
  <c r="P333" i="14" s="1"/>
  <c r="P335" i="14"/>
  <c r="S186" i="8"/>
  <c r="T186" i="8" s="1"/>
  <c r="O46" i="12"/>
  <c r="N21" i="14"/>
  <c r="N20" i="14"/>
  <c r="N18" i="14" s="1"/>
  <c r="R413" i="14"/>
  <c r="U413" i="14" s="1"/>
  <c r="U415" i="14"/>
  <c r="O358" i="13"/>
  <c r="M157" i="11"/>
  <c r="P157" i="11" s="1"/>
  <c r="T186" i="11"/>
  <c r="L117" i="11"/>
  <c r="O117" i="11" s="1"/>
  <c r="U268" i="12"/>
  <c r="P356" i="13"/>
  <c r="P176" i="13"/>
  <c r="P47" i="13"/>
  <c r="R21" i="14"/>
  <c r="R20" i="14"/>
  <c r="U23" i="14"/>
  <c r="L117" i="14"/>
  <c r="O117" i="14" s="1"/>
  <c r="O119" i="14"/>
  <c r="M18" i="14"/>
  <c r="P19" i="14"/>
  <c r="T159" i="14"/>
  <c r="Q157" i="14"/>
  <c r="T157" i="14" s="1"/>
  <c r="U189" i="14"/>
  <c r="L24" i="14"/>
  <c r="O24" i="14" s="1"/>
  <c r="O26" i="14"/>
  <c r="T644" i="14"/>
  <c r="Q642" i="14"/>
  <c r="T642" i="14" s="1"/>
  <c r="T266" i="14"/>
  <c r="P269" i="13"/>
  <c r="T618" i="13"/>
  <c r="M44" i="14"/>
  <c r="P46" i="14"/>
  <c r="R117" i="14"/>
  <c r="U117" i="14" s="1"/>
  <c r="U119" i="14"/>
  <c r="P189" i="14"/>
  <c r="Q20" i="14"/>
  <c r="T23" i="14"/>
  <c r="Q21" i="14"/>
  <c r="O188" i="14"/>
  <c r="M303" i="14"/>
  <c r="P303" i="14" s="1"/>
  <c r="P305" i="14"/>
  <c r="L320" i="14"/>
  <c r="O320" i="14" s="1"/>
  <c r="P139" i="12"/>
  <c r="U97" i="9"/>
  <c r="P268" i="13"/>
  <c r="M72" i="14"/>
  <c r="P72" i="14" s="1"/>
  <c r="P74" i="14"/>
  <c r="O44" i="14"/>
  <c r="M186" i="14"/>
  <c r="P186" i="14" s="1"/>
  <c r="L232" i="14"/>
  <c r="O243" i="14"/>
  <c r="Q616" i="14"/>
  <c r="T616" i="14" s="1"/>
  <c r="T618" i="14"/>
  <c r="O189" i="14"/>
  <c r="Q303" i="14"/>
  <c r="T303" i="14" s="1"/>
  <c r="R173" i="14"/>
  <c r="U173" i="14" s="1"/>
  <c r="U175" i="14"/>
  <c r="L173" i="14"/>
  <c r="O173" i="14" s="1"/>
  <c r="O175" i="14"/>
  <c r="M59" i="14"/>
  <c r="P61" i="14"/>
  <c r="U731" i="14"/>
  <c r="T731" i="14"/>
  <c r="M139" i="13"/>
  <c r="P139" i="13" s="1"/>
  <c r="T269" i="9"/>
  <c r="O61" i="10"/>
  <c r="M513" i="11"/>
  <c r="P513" i="11" s="1"/>
  <c r="M157" i="12"/>
  <c r="P157" i="12" s="1"/>
  <c r="K374" i="11"/>
  <c r="U730" i="12"/>
  <c r="M59" i="13"/>
  <c r="P59" i="13" s="1"/>
  <c r="K332" i="13"/>
  <c r="T306" i="13"/>
  <c r="P358" i="13"/>
  <c r="R186" i="14"/>
  <c r="U186" i="14" s="1"/>
  <c r="K701" i="14"/>
  <c r="T377" i="14"/>
  <c r="M266" i="14"/>
  <c r="P266" i="14" s="1"/>
  <c r="O335" i="14"/>
  <c r="L333" i="14"/>
  <c r="O333" i="14" s="1"/>
  <c r="P268" i="10"/>
  <c r="P266" i="10"/>
  <c r="L142" i="1"/>
  <c r="S117" i="7"/>
  <c r="T117" i="7" s="1"/>
  <c r="P46" i="9"/>
  <c r="T97" i="9"/>
  <c r="M513" i="9"/>
  <c r="P513" i="9" s="1"/>
  <c r="U495" i="9"/>
  <c r="R72" i="11"/>
  <c r="U72" i="11" s="1"/>
  <c r="S21" i="12"/>
  <c r="U188" i="12"/>
  <c r="M282" i="12"/>
  <c r="P282" i="12" s="1"/>
  <c r="P335" i="13"/>
  <c r="T189" i="13"/>
  <c r="U375" i="13"/>
  <c r="M320" i="13"/>
  <c r="P320" i="13" s="1"/>
  <c r="L513" i="13"/>
  <c r="O513" i="13" s="1"/>
  <c r="Q616" i="13"/>
  <c r="T616" i="13" s="1"/>
  <c r="U377" i="13"/>
  <c r="O323" i="13"/>
  <c r="K374" i="13"/>
  <c r="M94" i="13"/>
  <c r="P94" i="13" s="1"/>
  <c r="P96" i="13"/>
  <c r="I70" i="10"/>
  <c r="K70" i="10" s="1"/>
  <c r="O335" i="11"/>
  <c r="P173" i="12"/>
  <c r="T186" i="12"/>
  <c r="T693" i="12"/>
  <c r="U378" i="13"/>
  <c r="T377" i="13"/>
  <c r="M266" i="13"/>
  <c r="P266" i="13" s="1"/>
  <c r="O47" i="8"/>
  <c r="R413" i="9"/>
  <c r="U413" i="9" s="1"/>
  <c r="L139" i="11"/>
  <c r="O139" i="11" s="1"/>
  <c r="M320" i="11"/>
  <c r="P320" i="11" s="1"/>
  <c r="U377" i="11"/>
  <c r="P186" i="12"/>
  <c r="O188" i="12"/>
  <c r="P335" i="12"/>
  <c r="R728" i="12"/>
  <c r="U728" i="12" s="1"/>
  <c r="P46" i="13"/>
  <c r="I71" i="13"/>
  <c r="K71" i="13" s="1"/>
  <c r="M72" i="13"/>
  <c r="P72" i="13" s="1"/>
  <c r="T375" i="13"/>
  <c r="L173" i="13"/>
  <c r="O173" i="13" s="1"/>
  <c r="U618" i="13"/>
  <c r="R642" i="13"/>
  <c r="U642" i="13" s="1"/>
  <c r="O188" i="10"/>
  <c r="P186" i="11"/>
  <c r="U377" i="10"/>
  <c r="T375" i="12"/>
  <c r="P47" i="12"/>
  <c r="T268" i="12"/>
  <c r="O358" i="12"/>
  <c r="M303" i="13"/>
  <c r="P303" i="13" s="1"/>
  <c r="Q413" i="13"/>
  <c r="T413" i="13" s="1"/>
  <c r="O74" i="13"/>
  <c r="L72" i="13"/>
  <c r="O72" i="13" s="1"/>
  <c r="R616" i="10"/>
  <c r="U616" i="10" s="1"/>
  <c r="K332" i="11"/>
  <c r="P268" i="11"/>
  <c r="S616" i="11"/>
  <c r="T616" i="11" s="1"/>
  <c r="P176" i="12"/>
  <c r="R20" i="13"/>
  <c r="U20" i="13" s="1"/>
  <c r="U23" i="13"/>
  <c r="O19" i="13"/>
  <c r="L232" i="13"/>
  <c r="O243" i="13"/>
  <c r="U141" i="13"/>
  <c r="R139" i="13"/>
  <c r="U139" i="13" s="1"/>
  <c r="K242" i="13"/>
  <c r="I231" i="13"/>
  <c r="R72" i="10"/>
  <c r="U72" i="10" s="1"/>
  <c r="Q642" i="10"/>
  <c r="T642" i="10" s="1"/>
  <c r="T619" i="10"/>
  <c r="R413" i="10"/>
  <c r="U413" i="10" s="1"/>
  <c r="P266" i="11"/>
  <c r="T692" i="11"/>
  <c r="T189" i="11"/>
  <c r="O61" i="12"/>
  <c r="U19" i="13"/>
  <c r="O333" i="13"/>
  <c r="L303" i="13"/>
  <c r="O303" i="13" s="1"/>
  <c r="O305" i="13"/>
  <c r="P46" i="8"/>
  <c r="U94" i="8"/>
  <c r="P61" i="9"/>
  <c r="T619" i="9"/>
  <c r="T692" i="9"/>
  <c r="L94" i="10"/>
  <c r="O94" i="10" s="1"/>
  <c r="L117" i="10"/>
  <c r="O117" i="10" s="1"/>
  <c r="U619" i="9"/>
  <c r="P175" i="11"/>
  <c r="R173" i="12"/>
  <c r="U173" i="12" s="1"/>
  <c r="P141" i="12"/>
  <c r="P23" i="13"/>
  <c r="M20" i="13"/>
  <c r="M18" i="13" s="1"/>
  <c r="L117" i="13"/>
  <c r="O117" i="13" s="1"/>
  <c r="N40" i="13"/>
  <c r="I70" i="13"/>
  <c r="K70" i="13" s="1"/>
  <c r="K82" i="13"/>
  <c r="R157" i="13"/>
  <c r="U157" i="13" s="1"/>
  <c r="T188" i="13"/>
  <c r="Q186" i="13"/>
  <c r="T186" i="13" s="1"/>
  <c r="L356" i="13"/>
  <c r="O356" i="13" s="1"/>
  <c r="U496" i="13"/>
  <c r="U692" i="13"/>
  <c r="R760" i="13"/>
  <c r="U760" i="13" s="1"/>
  <c r="U762" i="13"/>
  <c r="Q728" i="10"/>
  <c r="T728" i="10" s="1"/>
  <c r="T268" i="11"/>
  <c r="P335" i="11"/>
  <c r="O142" i="12"/>
  <c r="Q266" i="12"/>
  <c r="T266" i="12" s="1"/>
  <c r="R266" i="12"/>
  <c r="U266" i="12" s="1"/>
  <c r="U378" i="11"/>
  <c r="L356" i="12"/>
  <c r="M24" i="13"/>
  <c r="P24" i="13" s="1"/>
  <c r="L59" i="13"/>
  <c r="O59" i="13" s="1"/>
  <c r="O61" i="13"/>
  <c r="N21" i="13"/>
  <c r="O21" i="13" s="1"/>
  <c r="N20" i="13"/>
  <c r="N18" i="13" s="1"/>
  <c r="R21" i="13"/>
  <c r="S18" i="13"/>
  <c r="O141" i="13"/>
  <c r="L139" i="13"/>
  <c r="O139" i="13" s="1"/>
  <c r="M157" i="13"/>
  <c r="P157" i="13" s="1"/>
  <c r="L282" i="13"/>
  <c r="O282" i="13" s="1"/>
  <c r="O284" i="13"/>
  <c r="R303" i="13"/>
  <c r="U303" i="13" s="1"/>
  <c r="U305" i="13"/>
  <c r="T692" i="13"/>
  <c r="L59" i="12"/>
  <c r="O59" i="12" s="1"/>
  <c r="O175" i="12"/>
  <c r="P62" i="12"/>
  <c r="L266" i="12"/>
  <c r="O266" i="12" s="1"/>
  <c r="U619" i="12"/>
  <c r="T730" i="12"/>
  <c r="P61" i="12"/>
  <c r="P175" i="12"/>
  <c r="L513" i="12"/>
  <c r="O513" i="12" s="1"/>
  <c r="Q20" i="13"/>
  <c r="T23" i="13"/>
  <c r="Q21" i="13"/>
  <c r="L24" i="13"/>
  <c r="O24" i="13" s="1"/>
  <c r="L186" i="13"/>
  <c r="O186" i="13" s="1"/>
  <c r="S21" i="13"/>
  <c r="P188" i="13"/>
  <c r="M186" i="13"/>
  <c r="P186" i="13" s="1"/>
  <c r="Q266" i="13"/>
  <c r="T266" i="13" s="1"/>
  <c r="T268" i="13"/>
  <c r="T690" i="13"/>
  <c r="K374" i="12"/>
  <c r="K332" i="12"/>
  <c r="P358" i="12"/>
  <c r="L20" i="13"/>
  <c r="O23" i="13"/>
  <c r="L44" i="13"/>
  <c r="O46" i="13"/>
  <c r="P19" i="13"/>
  <c r="M44" i="13"/>
  <c r="R117" i="13"/>
  <c r="U117" i="13" s="1"/>
  <c r="T305" i="13"/>
  <c r="Q303" i="13"/>
  <c r="T303" i="13" s="1"/>
  <c r="Q728" i="13"/>
  <c r="T728" i="13" s="1"/>
  <c r="T730" i="13"/>
  <c r="M333" i="13"/>
  <c r="P333" i="13" s="1"/>
  <c r="M222" i="1"/>
  <c r="T120" i="10"/>
  <c r="P142" i="12"/>
  <c r="L94" i="11"/>
  <c r="O94" i="11" s="1"/>
  <c r="O188" i="11"/>
  <c r="Q157" i="12"/>
  <c r="T157" i="12" s="1"/>
  <c r="L117" i="12"/>
  <c r="O117" i="12" s="1"/>
  <c r="P188" i="12"/>
  <c r="P333" i="12"/>
  <c r="T188" i="12"/>
  <c r="O284" i="12"/>
  <c r="T189" i="12"/>
  <c r="T762" i="12"/>
  <c r="T728" i="12"/>
  <c r="O186" i="12"/>
  <c r="Q303" i="12"/>
  <c r="T303" i="12" s="1"/>
  <c r="M94" i="12"/>
  <c r="P94" i="12" s="1"/>
  <c r="R117" i="12"/>
  <c r="U117" i="12" s="1"/>
  <c r="T618" i="12"/>
  <c r="U378" i="12"/>
  <c r="P176" i="8"/>
  <c r="S760" i="12"/>
  <c r="U760" i="12" s="1"/>
  <c r="P359" i="12"/>
  <c r="T97" i="8"/>
  <c r="U97" i="8"/>
  <c r="L157" i="12"/>
  <c r="O157" i="12" s="1"/>
  <c r="P515" i="12"/>
  <c r="M513" i="12"/>
  <c r="P513" i="12" s="1"/>
  <c r="L117" i="7"/>
  <c r="O117" i="7" s="1"/>
  <c r="O335" i="9"/>
  <c r="U120" i="10"/>
  <c r="K83" i="10"/>
  <c r="P188" i="10"/>
  <c r="K374" i="10"/>
  <c r="P336" i="11"/>
  <c r="U730" i="11"/>
  <c r="M24" i="12"/>
  <c r="P24" i="12" s="1"/>
  <c r="L94" i="12"/>
  <c r="O94" i="12" s="1"/>
  <c r="O359" i="12"/>
  <c r="O62" i="12"/>
  <c r="P23" i="12"/>
  <c r="M20" i="12"/>
  <c r="M18" i="12" s="1"/>
  <c r="Q690" i="12"/>
  <c r="T690" i="12" s="1"/>
  <c r="T692" i="12"/>
  <c r="Q303" i="10"/>
  <c r="T303" i="10" s="1"/>
  <c r="P188" i="11"/>
  <c r="U693" i="11"/>
  <c r="O336" i="11"/>
  <c r="O268" i="11"/>
  <c r="R157" i="12"/>
  <c r="U157" i="12" s="1"/>
  <c r="L24" i="12"/>
  <c r="O24" i="12" s="1"/>
  <c r="O26" i="12"/>
  <c r="R94" i="12"/>
  <c r="U94" i="12" s="1"/>
  <c r="R413" i="12"/>
  <c r="U413" i="12" s="1"/>
  <c r="U415" i="12"/>
  <c r="R616" i="12"/>
  <c r="U616" i="12" s="1"/>
  <c r="U618" i="12"/>
  <c r="M303" i="12"/>
  <c r="P303" i="12" s="1"/>
  <c r="P305" i="12"/>
  <c r="P61" i="8"/>
  <c r="L157" i="8"/>
  <c r="O157" i="8" s="1"/>
  <c r="O142" i="9"/>
  <c r="O75" i="9"/>
  <c r="T377" i="10"/>
  <c r="M139" i="11"/>
  <c r="P139" i="11" s="1"/>
  <c r="U378" i="10"/>
  <c r="M333" i="11"/>
  <c r="P333" i="11" s="1"/>
  <c r="L232" i="11"/>
  <c r="Q20" i="12"/>
  <c r="T23" i="12"/>
  <c r="Q21" i="12"/>
  <c r="O44" i="12"/>
  <c r="K82" i="12"/>
  <c r="I70" i="12"/>
  <c r="K70" i="12" s="1"/>
  <c r="T141" i="12"/>
  <c r="Q139" i="12"/>
  <c r="T139" i="12" s="1"/>
  <c r="O176" i="12"/>
  <c r="P266" i="12"/>
  <c r="R186" i="12"/>
  <c r="U186" i="12" s="1"/>
  <c r="N356" i="12"/>
  <c r="P356" i="12" s="1"/>
  <c r="Q642" i="12"/>
  <c r="T642" i="12" s="1"/>
  <c r="T644" i="12"/>
  <c r="U728" i="8"/>
  <c r="R375" i="10"/>
  <c r="U375" i="10" s="1"/>
  <c r="O47" i="9"/>
  <c r="L72" i="10"/>
  <c r="O72" i="10" s="1"/>
  <c r="L21" i="12"/>
  <c r="L20" i="12"/>
  <c r="O23" i="12"/>
  <c r="N21" i="12"/>
  <c r="N20" i="12"/>
  <c r="N18" i="12" s="1"/>
  <c r="Q117" i="12"/>
  <c r="T117" i="12" s="1"/>
  <c r="P19" i="12"/>
  <c r="L173" i="12"/>
  <c r="O173" i="12" s="1"/>
  <c r="U120" i="12"/>
  <c r="Q94" i="12"/>
  <c r="T94" i="12" s="1"/>
  <c r="K242" i="12"/>
  <c r="I231" i="12"/>
  <c r="P268" i="12"/>
  <c r="L139" i="12"/>
  <c r="O139" i="12" s="1"/>
  <c r="O141" i="12"/>
  <c r="P59" i="12"/>
  <c r="O335" i="12"/>
  <c r="U377" i="12"/>
  <c r="M513" i="10"/>
  <c r="P513" i="10" s="1"/>
  <c r="L333" i="11"/>
  <c r="O333" i="11" s="1"/>
  <c r="R413" i="11"/>
  <c r="U413" i="11" s="1"/>
  <c r="R21" i="12"/>
  <c r="R20" i="12"/>
  <c r="U23" i="12"/>
  <c r="M72" i="12"/>
  <c r="P72" i="12" s="1"/>
  <c r="P74" i="12"/>
  <c r="R139" i="12"/>
  <c r="U139" i="12" s="1"/>
  <c r="U141" i="12"/>
  <c r="L232" i="12"/>
  <c r="O243" i="12"/>
  <c r="K83" i="12"/>
  <c r="I71" i="12"/>
  <c r="K71" i="12" s="1"/>
  <c r="R728" i="11"/>
  <c r="U728" i="11" s="1"/>
  <c r="M44" i="12"/>
  <c r="P46" i="12"/>
  <c r="M21" i="12"/>
  <c r="L320" i="12"/>
  <c r="O320" i="12" s="1"/>
  <c r="O322" i="12"/>
  <c r="O333" i="12"/>
  <c r="K701" i="12"/>
  <c r="T377" i="12"/>
  <c r="U375" i="12"/>
  <c r="O186" i="10"/>
  <c r="Q760" i="11"/>
  <c r="T760" i="11" s="1"/>
  <c r="Q94" i="11"/>
  <c r="T94" i="11" s="1"/>
  <c r="T96" i="11"/>
  <c r="U306" i="9"/>
  <c r="T306" i="9"/>
  <c r="P358" i="11"/>
  <c r="L303" i="11"/>
  <c r="O303" i="11" s="1"/>
  <c r="M320" i="10"/>
  <c r="P320" i="10" s="1"/>
  <c r="I412" i="11"/>
  <c r="K412" i="11" s="1"/>
  <c r="K423" i="11"/>
  <c r="P358" i="9"/>
  <c r="L282" i="10"/>
  <c r="O282" i="10" s="1"/>
  <c r="Q690" i="10"/>
  <c r="T690" i="10" s="1"/>
  <c r="M24" i="11"/>
  <c r="P24" i="11" s="1"/>
  <c r="O189" i="11"/>
  <c r="P47" i="11"/>
  <c r="N40" i="11"/>
  <c r="O175" i="11"/>
  <c r="L157" i="10"/>
  <c r="O157" i="10" s="1"/>
  <c r="Q303" i="9"/>
  <c r="T303" i="9" s="1"/>
  <c r="O358" i="9"/>
  <c r="T266" i="9"/>
  <c r="U266" i="10"/>
  <c r="R139" i="11"/>
  <c r="U139" i="11" s="1"/>
  <c r="Q266" i="11"/>
  <c r="T266" i="11" s="1"/>
  <c r="L320" i="11"/>
  <c r="O320" i="11" s="1"/>
  <c r="T760" i="8"/>
  <c r="T763" i="8"/>
  <c r="T763" i="9"/>
  <c r="P59" i="11"/>
  <c r="O19" i="11"/>
  <c r="S18" i="11"/>
  <c r="P62" i="11"/>
  <c r="O62" i="11"/>
  <c r="M173" i="11"/>
  <c r="P173" i="11" s="1"/>
  <c r="P23" i="11"/>
  <c r="M20" i="11"/>
  <c r="P305" i="11"/>
  <c r="M303" i="11"/>
  <c r="P303" i="11" s="1"/>
  <c r="Q375" i="11"/>
  <c r="T375" i="11" s="1"/>
  <c r="O284" i="11"/>
  <c r="L282" i="11"/>
  <c r="O282" i="11" s="1"/>
  <c r="L356" i="11"/>
  <c r="O356" i="11" s="1"/>
  <c r="O358" i="11"/>
  <c r="R139" i="7"/>
  <c r="U139" i="7" s="1"/>
  <c r="R642" i="9"/>
  <c r="U642" i="9" s="1"/>
  <c r="O74" i="9"/>
  <c r="N20" i="10"/>
  <c r="N18" i="10" s="1"/>
  <c r="Q413" i="10"/>
  <c r="T413" i="10" s="1"/>
  <c r="M72" i="11"/>
  <c r="P72" i="11" s="1"/>
  <c r="P61" i="11"/>
  <c r="R173" i="11"/>
  <c r="U173" i="11" s="1"/>
  <c r="O186" i="11"/>
  <c r="T159" i="11"/>
  <c r="Q157" i="11"/>
  <c r="T157" i="11" s="1"/>
  <c r="M282" i="11"/>
  <c r="P282" i="11" s="1"/>
  <c r="P284" i="11"/>
  <c r="R760" i="11"/>
  <c r="U760" i="11" s="1"/>
  <c r="O61" i="11"/>
  <c r="L59" i="11"/>
  <c r="O59" i="11" s="1"/>
  <c r="R690" i="8"/>
  <c r="U690" i="8" s="1"/>
  <c r="U141" i="9"/>
  <c r="M320" i="9"/>
  <c r="P320" i="9" s="1"/>
  <c r="M94" i="10"/>
  <c r="P94" i="10" s="1"/>
  <c r="Q20" i="11"/>
  <c r="T20" i="11" s="1"/>
  <c r="T23" i="11"/>
  <c r="Q21" i="11"/>
  <c r="T19" i="11"/>
  <c r="L24" i="11"/>
  <c r="O24" i="11" s="1"/>
  <c r="R266" i="11"/>
  <c r="U266" i="11" s="1"/>
  <c r="U268" i="11"/>
  <c r="P46" i="11"/>
  <c r="N20" i="11"/>
  <c r="N18" i="11" s="1"/>
  <c r="N21" i="11"/>
  <c r="P21" i="11" s="1"/>
  <c r="L513" i="11"/>
  <c r="O513" i="11" s="1"/>
  <c r="R642" i="11"/>
  <c r="U642" i="11" s="1"/>
  <c r="U618" i="11"/>
  <c r="R616" i="11"/>
  <c r="T175" i="7"/>
  <c r="L320" i="8"/>
  <c r="O320" i="8" s="1"/>
  <c r="P188" i="9"/>
  <c r="M186" i="9"/>
  <c r="P186" i="9" s="1"/>
  <c r="L320" i="10"/>
  <c r="O320" i="10" s="1"/>
  <c r="R20" i="11"/>
  <c r="U23" i="11"/>
  <c r="O21" i="11"/>
  <c r="K82" i="11"/>
  <c r="I70" i="11"/>
  <c r="K70" i="11" s="1"/>
  <c r="K242" i="11"/>
  <c r="I231" i="11"/>
  <c r="O173" i="11"/>
  <c r="P356" i="11"/>
  <c r="P44" i="11"/>
  <c r="N59" i="10"/>
  <c r="O59" i="10" s="1"/>
  <c r="O44" i="11"/>
  <c r="S21" i="11"/>
  <c r="U21" i="11" s="1"/>
  <c r="O46" i="11"/>
  <c r="K83" i="11"/>
  <c r="I71" i="11"/>
  <c r="K71" i="11" s="1"/>
  <c r="T117" i="11"/>
  <c r="Q173" i="11"/>
  <c r="T173" i="11" s="1"/>
  <c r="T175" i="11"/>
  <c r="L20" i="11"/>
  <c r="O20" i="11" s="1"/>
  <c r="O23" i="11"/>
  <c r="T495" i="10"/>
  <c r="Q493" i="10"/>
  <c r="T493" i="10" s="1"/>
  <c r="T730" i="11"/>
  <c r="Q728" i="11"/>
  <c r="T728" i="11" s="1"/>
  <c r="Q493" i="11"/>
  <c r="T493" i="11" s="1"/>
  <c r="R303" i="11"/>
  <c r="U303" i="11" s="1"/>
  <c r="R690" i="11"/>
  <c r="U690" i="11" s="1"/>
  <c r="L94" i="8"/>
  <c r="O94" i="8" s="1"/>
  <c r="Q173" i="10"/>
  <c r="T173" i="10" s="1"/>
  <c r="K374" i="8"/>
  <c r="L320" i="9"/>
  <c r="O320" i="9" s="1"/>
  <c r="L173" i="10"/>
  <c r="O173" i="10" s="1"/>
  <c r="L513" i="10"/>
  <c r="O513" i="10" s="1"/>
  <c r="I70" i="7"/>
  <c r="K70" i="7" s="1"/>
  <c r="U120" i="9"/>
  <c r="M24" i="10"/>
  <c r="P24" i="10" s="1"/>
  <c r="L333" i="10"/>
  <c r="O333" i="10" s="1"/>
  <c r="R72" i="7"/>
  <c r="U72" i="7" s="1"/>
  <c r="Q94" i="9"/>
  <c r="T94" i="9" s="1"/>
  <c r="U731" i="8"/>
  <c r="K701" i="9"/>
  <c r="Q266" i="10"/>
  <c r="T266" i="10" s="1"/>
  <c r="T375" i="10"/>
  <c r="O46" i="10"/>
  <c r="K365" i="6"/>
  <c r="L303" i="7"/>
  <c r="O303" i="7" s="1"/>
  <c r="T618" i="8"/>
  <c r="T728" i="9"/>
  <c r="R21" i="10"/>
  <c r="R20" i="10"/>
  <c r="U23" i="10"/>
  <c r="L356" i="10"/>
  <c r="O358" i="10"/>
  <c r="R395" i="1"/>
  <c r="U395" i="1" s="1"/>
  <c r="P23" i="10"/>
  <c r="M20" i="10"/>
  <c r="M21" i="10"/>
  <c r="L322" i="1"/>
  <c r="M282" i="7"/>
  <c r="P282" i="7" s="1"/>
  <c r="P74" i="9"/>
  <c r="N72" i="9"/>
  <c r="O72" i="9" s="1"/>
  <c r="M173" i="9"/>
  <c r="P173" i="9" s="1"/>
  <c r="U189" i="9"/>
  <c r="O305" i="9"/>
  <c r="M44" i="10"/>
  <c r="P46" i="10"/>
  <c r="L139" i="10"/>
  <c r="O139" i="10" s="1"/>
  <c r="O141" i="10"/>
  <c r="S21" i="10"/>
  <c r="N356" i="10"/>
  <c r="P356" i="10" s="1"/>
  <c r="R303" i="10"/>
  <c r="U303" i="10" s="1"/>
  <c r="U269" i="10"/>
  <c r="P335" i="10"/>
  <c r="M333" i="10"/>
  <c r="P333" i="10" s="1"/>
  <c r="Q616" i="10"/>
  <c r="T616" i="10" s="1"/>
  <c r="R728" i="10"/>
  <c r="U728" i="10" s="1"/>
  <c r="O308" i="6"/>
  <c r="T117" i="9"/>
  <c r="P356" i="9"/>
  <c r="T730" i="9"/>
  <c r="M59" i="10"/>
  <c r="P61" i="10"/>
  <c r="R139" i="10"/>
  <c r="U139" i="10" s="1"/>
  <c r="U141" i="10"/>
  <c r="M282" i="10"/>
  <c r="P282" i="10" s="1"/>
  <c r="P175" i="10"/>
  <c r="M173" i="10"/>
  <c r="P173" i="10" s="1"/>
  <c r="S760" i="10"/>
  <c r="U760" i="10" s="1"/>
  <c r="R214" i="1"/>
  <c r="U77" i="5"/>
  <c r="M320" i="7"/>
  <c r="P320" i="7" s="1"/>
  <c r="O188" i="7"/>
  <c r="K83" i="9"/>
  <c r="P141" i="9"/>
  <c r="P335" i="8"/>
  <c r="U616" i="9"/>
  <c r="U730" i="9"/>
  <c r="U762" i="9"/>
  <c r="U269" i="9"/>
  <c r="Q20" i="10"/>
  <c r="T23" i="10"/>
  <c r="Q21" i="10"/>
  <c r="M72" i="10"/>
  <c r="P72" i="10" s="1"/>
  <c r="P74" i="10"/>
  <c r="P19" i="10"/>
  <c r="O44" i="10"/>
  <c r="L24" i="10"/>
  <c r="O24" i="10" s="1"/>
  <c r="O26" i="10"/>
  <c r="I231" i="10"/>
  <c r="K242" i="10"/>
  <c r="L266" i="10"/>
  <c r="O266" i="10" s="1"/>
  <c r="R493" i="10"/>
  <c r="U493" i="10" s="1"/>
  <c r="U495" i="10"/>
  <c r="M186" i="10"/>
  <c r="P186" i="10" s="1"/>
  <c r="Q375" i="9"/>
  <c r="T375" i="9" s="1"/>
  <c r="T377" i="9"/>
  <c r="U762" i="10"/>
  <c r="L21" i="10"/>
  <c r="L20" i="10"/>
  <c r="O23" i="10"/>
  <c r="S72" i="9"/>
  <c r="U72" i="9" s="1"/>
  <c r="P335" i="9"/>
  <c r="N21" i="10"/>
  <c r="P119" i="10"/>
  <c r="M117" i="10"/>
  <c r="P117" i="10" s="1"/>
  <c r="P159" i="10"/>
  <c r="M157" i="10"/>
  <c r="P157" i="10" s="1"/>
  <c r="O243" i="10"/>
  <c r="L232" i="10"/>
  <c r="L303" i="10"/>
  <c r="O303" i="10" s="1"/>
  <c r="S222" i="1"/>
  <c r="N46" i="6"/>
  <c r="N44" i="6" s="1"/>
  <c r="L513" i="8"/>
  <c r="O513" i="8" s="1"/>
  <c r="N303" i="9"/>
  <c r="P303" i="9" s="1"/>
  <c r="O186" i="8"/>
  <c r="P269" i="8"/>
  <c r="M333" i="8"/>
  <c r="P333" i="8" s="1"/>
  <c r="O335" i="8"/>
  <c r="T117" i="8"/>
  <c r="P188" i="8"/>
  <c r="M139" i="9"/>
  <c r="P139" i="9" s="1"/>
  <c r="T159" i="9"/>
  <c r="K332" i="9"/>
  <c r="P142" i="9"/>
  <c r="L333" i="9"/>
  <c r="O333" i="9" s="1"/>
  <c r="P62" i="9"/>
  <c r="R760" i="9"/>
  <c r="U760" i="9" s="1"/>
  <c r="R728" i="9"/>
  <c r="U728" i="9" s="1"/>
  <c r="Q375" i="8"/>
  <c r="T375" i="8" s="1"/>
  <c r="L24" i="9"/>
  <c r="O24" i="9" s="1"/>
  <c r="M117" i="9"/>
  <c r="P117" i="9" s="1"/>
  <c r="M282" i="9"/>
  <c r="P282" i="9" s="1"/>
  <c r="P305" i="9"/>
  <c r="O96" i="9"/>
  <c r="L94" i="9"/>
  <c r="O94" i="9" s="1"/>
  <c r="O521" i="5"/>
  <c r="U268" i="7"/>
  <c r="O336" i="9"/>
  <c r="T760" i="9"/>
  <c r="P358" i="7"/>
  <c r="L145" i="1"/>
  <c r="O145" i="1" s="1"/>
  <c r="O188" i="8"/>
  <c r="T378" i="8"/>
  <c r="M59" i="9"/>
  <c r="P59" i="9" s="1"/>
  <c r="L266" i="9"/>
  <c r="O266" i="9" s="1"/>
  <c r="R157" i="9"/>
  <c r="U157" i="9" s="1"/>
  <c r="R375" i="9"/>
  <c r="U375" i="9" s="1"/>
  <c r="M333" i="9"/>
  <c r="P333" i="9" s="1"/>
  <c r="P173" i="8"/>
  <c r="O175" i="8"/>
  <c r="R20" i="9"/>
  <c r="U20" i="9" s="1"/>
  <c r="U23" i="9"/>
  <c r="P23" i="9"/>
  <c r="M20" i="9"/>
  <c r="I231" i="9"/>
  <c r="K242" i="9"/>
  <c r="L139" i="9"/>
  <c r="O139" i="9" s="1"/>
  <c r="O141" i="9"/>
  <c r="N21" i="9"/>
  <c r="O21" i="9" s="1"/>
  <c r="N20" i="9"/>
  <c r="N18" i="9" s="1"/>
  <c r="O284" i="9"/>
  <c r="L282" i="9"/>
  <c r="O282" i="9" s="1"/>
  <c r="L602" i="1"/>
  <c r="O602" i="1" s="1"/>
  <c r="O335" i="7"/>
  <c r="P159" i="9"/>
  <c r="M157" i="9"/>
  <c r="P157" i="9" s="1"/>
  <c r="L59" i="9"/>
  <c r="O59" i="9" s="1"/>
  <c r="O61" i="9"/>
  <c r="L232" i="9"/>
  <c r="O515" i="9"/>
  <c r="L513" i="9"/>
  <c r="O513" i="9" s="1"/>
  <c r="Q616" i="9"/>
  <c r="T616" i="9" s="1"/>
  <c r="T618" i="9"/>
  <c r="L513" i="7"/>
  <c r="O513" i="7" s="1"/>
  <c r="M513" i="7"/>
  <c r="P513" i="7" s="1"/>
  <c r="L24" i="8"/>
  <c r="O24" i="8" s="1"/>
  <c r="R186" i="8"/>
  <c r="M186" i="8"/>
  <c r="P186" i="8" s="1"/>
  <c r="S21" i="8"/>
  <c r="U21" i="8" s="1"/>
  <c r="T730" i="8"/>
  <c r="L44" i="9"/>
  <c r="O46" i="9"/>
  <c r="M24" i="9"/>
  <c r="P24" i="9" s="1"/>
  <c r="U19" i="9"/>
  <c r="P268" i="9"/>
  <c r="L356" i="9"/>
  <c r="O356" i="9" s="1"/>
  <c r="Q413" i="9"/>
  <c r="T413" i="9" s="1"/>
  <c r="T415" i="9"/>
  <c r="K779" i="4"/>
  <c r="M139" i="7"/>
  <c r="P139" i="7" s="1"/>
  <c r="O141" i="7"/>
  <c r="P268" i="8"/>
  <c r="I71" i="8"/>
  <c r="K71" i="8" s="1"/>
  <c r="P189" i="8"/>
  <c r="T762" i="8"/>
  <c r="R173" i="9"/>
  <c r="U173" i="9" s="1"/>
  <c r="M72" i="9"/>
  <c r="L117" i="9"/>
  <c r="O117" i="9" s="1"/>
  <c r="L157" i="9"/>
  <c r="O157" i="9" s="1"/>
  <c r="P266" i="9"/>
  <c r="Q186" i="9"/>
  <c r="T186" i="9" s="1"/>
  <c r="T188" i="9"/>
  <c r="N378" i="1"/>
  <c r="O186" i="7"/>
  <c r="L173" i="8"/>
  <c r="O173" i="8" s="1"/>
  <c r="S18" i="8"/>
  <c r="U269" i="8"/>
  <c r="Q20" i="9"/>
  <c r="T23" i="9"/>
  <c r="Q21" i="9"/>
  <c r="R117" i="9"/>
  <c r="U117" i="9" s="1"/>
  <c r="M44" i="9"/>
  <c r="T74" i="9"/>
  <c r="Q139" i="9"/>
  <c r="T139" i="9" s="1"/>
  <c r="U377" i="7"/>
  <c r="Q616" i="7"/>
  <c r="T616" i="7" s="1"/>
  <c r="T763" i="7"/>
  <c r="P175" i="8"/>
  <c r="R375" i="8"/>
  <c r="U375" i="8" s="1"/>
  <c r="L20" i="9"/>
  <c r="O23" i="9"/>
  <c r="M21" i="9"/>
  <c r="L173" i="9"/>
  <c r="O173" i="9" s="1"/>
  <c r="I70" i="9"/>
  <c r="K70" i="9" s="1"/>
  <c r="K82" i="9"/>
  <c r="S18" i="9"/>
  <c r="R21" i="9"/>
  <c r="S21" i="9"/>
  <c r="R266" i="9"/>
  <c r="U266" i="9" s="1"/>
  <c r="O188" i="9"/>
  <c r="L186" i="9"/>
  <c r="O186" i="9" s="1"/>
  <c r="M326" i="6"/>
  <c r="P326" i="6" s="1"/>
  <c r="P64" i="6"/>
  <c r="Q94" i="8"/>
  <c r="T94" i="8" s="1"/>
  <c r="P157" i="8"/>
  <c r="L303" i="8"/>
  <c r="O303" i="8" s="1"/>
  <c r="M282" i="8"/>
  <c r="P282" i="8" s="1"/>
  <c r="T269" i="8"/>
  <c r="P47" i="8"/>
  <c r="K781" i="6"/>
  <c r="L222" i="6"/>
  <c r="O222" i="6" s="1"/>
  <c r="T303" i="7"/>
  <c r="O61" i="7"/>
  <c r="L266" i="8"/>
  <c r="O266" i="8" s="1"/>
  <c r="T728" i="8"/>
  <c r="P336" i="8"/>
  <c r="T415" i="8"/>
  <c r="Q413" i="8"/>
  <c r="T413" i="8" s="1"/>
  <c r="U762" i="8"/>
  <c r="Q160" i="1"/>
  <c r="T160" i="1" s="1"/>
  <c r="Q163" i="1"/>
  <c r="T163" i="1" s="1"/>
  <c r="M117" i="8"/>
  <c r="P117" i="8" s="1"/>
  <c r="T268" i="8"/>
  <c r="P322" i="8"/>
  <c r="M320" i="8"/>
  <c r="P320" i="8" s="1"/>
  <c r="U618" i="8"/>
  <c r="U763" i="7"/>
  <c r="U728" i="7"/>
  <c r="M139" i="8"/>
  <c r="P139" i="8" s="1"/>
  <c r="L72" i="8"/>
  <c r="O72" i="8" s="1"/>
  <c r="U268" i="8"/>
  <c r="R642" i="8"/>
  <c r="U642" i="8" s="1"/>
  <c r="U760" i="8"/>
  <c r="T120" i="8"/>
  <c r="Q730" i="6"/>
  <c r="Q728" i="6" s="1"/>
  <c r="R173" i="7"/>
  <c r="U173" i="7" s="1"/>
  <c r="U731" i="7"/>
  <c r="L333" i="8"/>
  <c r="O333" i="8" s="1"/>
  <c r="U616" i="8"/>
  <c r="K778" i="5"/>
  <c r="R117" i="8"/>
  <c r="U117" i="8" s="1"/>
  <c r="K779" i="6"/>
  <c r="L59" i="7"/>
  <c r="O59" i="7" s="1"/>
  <c r="L333" i="7"/>
  <c r="O333" i="7" s="1"/>
  <c r="I231" i="8"/>
  <c r="K242" i="8"/>
  <c r="M303" i="8"/>
  <c r="P303" i="8" s="1"/>
  <c r="N358" i="6"/>
  <c r="N356" i="6" s="1"/>
  <c r="R413" i="7"/>
  <c r="U413" i="7" s="1"/>
  <c r="R413" i="8"/>
  <c r="U413" i="8" s="1"/>
  <c r="U415" i="8"/>
  <c r="S413" i="6"/>
  <c r="O125" i="6"/>
  <c r="U122" i="6"/>
  <c r="U77" i="6"/>
  <c r="S266" i="7"/>
  <c r="T266" i="7" s="1"/>
  <c r="S18" i="7"/>
  <c r="Q20" i="8"/>
  <c r="T23" i="8"/>
  <c r="Q21" i="8"/>
  <c r="R157" i="8"/>
  <c r="U157" i="8" s="1"/>
  <c r="M24" i="8"/>
  <c r="P24" i="8" s="1"/>
  <c r="O141" i="8"/>
  <c r="L139" i="8"/>
  <c r="O139" i="8" s="1"/>
  <c r="O243" i="8"/>
  <c r="L232" i="8"/>
  <c r="U19" i="8"/>
  <c r="L117" i="8"/>
  <c r="O117" i="8" s="1"/>
  <c r="R303" i="8"/>
  <c r="U303" i="8" s="1"/>
  <c r="O176" i="8"/>
  <c r="T266" i="8"/>
  <c r="T306" i="8"/>
  <c r="L282" i="8"/>
  <c r="O282" i="8" s="1"/>
  <c r="R493" i="7"/>
  <c r="U493" i="7" s="1"/>
  <c r="L59" i="8"/>
  <c r="O59" i="8" s="1"/>
  <c r="O61" i="8"/>
  <c r="N540" i="1"/>
  <c r="T495" i="8"/>
  <c r="Q493" i="8"/>
  <c r="T493" i="8" s="1"/>
  <c r="R493" i="8"/>
  <c r="U493" i="8" s="1"/>
  <c r="K183" i="6"/>
  <c r="U162" i="6"/>
  <c r="M24" i="7"/>
  <c r="P24" i="7" s="1"/>
  <c r="L94" i="7"/>
  <c r="O94" i="7" s="1"/>
  <c r="L282" i="7"/>
  <c r="O282" i="7" s="1"/>
  <c r="L20" i="8"/>
  <c r="O23" i="8"/>
  <c r="M72" i="8"/>
  <c r="P72" i="8" s="1"/>
  <c r="P159" i="8"/>
  <c r="R266" i="8"/>
  <c r="U266" i="8" s="1"/>
  <c r="P358" i="8"/>
  <c r="P515" i="8"/>
  <c r="M513" i="8"/>
  <c r="P513" i="8" s="1"/>
  <c r="T303" i="8"/>
  <c r="Q616" i="8"/>
  <c r="T616" i="8" s="1"/>
  <c r="L44" i="8"/>
  <c r="O46" i="8"/>
  <c r="N537" i="1"/>
  <c r="P23" i="8"/>
  <c r="M20" i="8"/>
  <c r="M59" i="8"/>
  <c r="P59" i="8" s="1"/>
  <c r="K774" i="5"/>
  <c r="K332" i="7"/>
  <c r="R20" i="8"/>
  <c r="U20" i="8" s="1"/>
  <c r="U23" i="8"/>
  <c r="M44" i="8"/>
  <c r="K82" i="8"/>
  <c r="I70" i="8"/>
  <c r="K70" i="8" s="1"/>
  <c r="N21" i="8"/>
  <c r="O21" i="8" s="1"/>
  <c r="N20" i="8"/>
  <c r="N18" i="8" s="1"/>
  <c r="I412" i="8"/>
  <c r="K412" i="8" s="1"/>
  <c r="K423" i="8"/>
  <c r="O358" i="8"/>
  <c r="N356" i="8"/>
  <c r="O356" i="8" s="1"/>
  <c r="O359" i="8"/>
  <c r="U730" i="8"/>
  <c r="U186" i="7"/>
  <c r="N269" i="1"/>
  <c r="L141" i="6"/>
  <c r="O141" i="6" s="1"/>
  <c r="O338" i="5"/>
  <c r="R303" i="6"/>
  <c r="U303" i="6" s="1"/>
  <c r="O336" i="7"/>
  <c r="R616" i="7"/>
  <c r="U616" i="7" s="1"/>
  <c r="Q690" i="7"/>
  <c r="T690" i="7" s="1"/>
  <c r="Q269" i="6"/>
  <c r="T375" i="7"/>
  <c r="T377" i="7"/>
  <c r="M515" i="6"/>
  <c r="P515" i="6" s="1"/>
  <c r="R415" i="6"/>
  <c r="U415" i="6" s="1"/>
  <c r="M309" i="6"/>
  <c r="P309" i="6" s="1"/>
  <c r="L268" i="6"/>
  <c r="O268" i="6" s="1"/>
  <c r="P189" i="6"/>
  <c r="I92" i="6"/>
  <c r="K92" i="6" s="1"/>
  <c r="P80" i="6"/>
  <c r="O46" i="7"/>
  <c r="K503" i="6"/>
  <c r="N322" i="6"/>
  <c r="N320" i="6" s="1"/>
  <c r="U308" i="6"/>
  <c r="O287" i="6"/>
  <c r="M179" i="6"/>
  <c r="P179" i="6" s="1"/>
  <c r="M175" i="6"/>
  <c r="M173" i="6" s="1"/>
  <c r="S160" i="6"/>
  <c r="L96" i="6"/>
  <c r="O96" i="6" s="1"/>
  <c r="R157" i="7"/>
  <c r="U157" i="7" s="1"/>
  <c r="N44" i="7"/>
  <c r="O44" i="7" s="1"/>
  <c r="U188" i="7"/>
  <c r="U642" i="7"/>
  <c r="I412" i="7"/>
  <c r="K412" i="7" s="1"/>
  <c r="K423" i="7"/>
  <c r="Q413" i="7"/>
  <c r="T413" i="7" s="1"/>
  <c r="T415" i="7"/>
  <c r="S561" i="1"/>
  <c r="J351" i="3"/>
  <c r="M288" i="5"/>
  <c r="P288" i="5" s="1"/>
  <c r="K183" i="5"/>
  <c r="N335" i="6"/>
  <c r="N333" i="6" s="1"/>
  <c r="K229" i="6"/>
  <c r="T178" i="6"/>
  <c r="L266" i="7"/>
  <c r="O266" i="7" s="1"/>
  <c r="P266" i="7"/>
  <c r="T305" i="7"/>
  <c r="P268" i="7"/>
  <c r="P189" i="7"/>
  <c r="P269" i="7"/>
  <c r="Q493" i="7"/>
  <c r="T493" i="7" s="1"/>
  <c r="O173" i="7"/>
  <c r="R760" i="7"/>
  <c r="U760" i="7" s="1"/>
  <c r="U762" i="7"/>
  <c r="K778" i="6"/>
  <c r="R377" i="6"/>
  <c r="U377" i="6" s="1"/>
  <c r="S173" i="6"/>
  <c r="Q20" i="7"/>
  <c r="T20" i="7" s="1"/>
  <c r="T23" i="7"/>
  <c r="Q21" i="7"/>
  <c r="T19" i="7"/>
  <c r="R21" i="7"/>
  <c r="R20" i="7"/>
  <c r="U23" i="7"/>
  <c r="Q139" i="7"/>
  <c r="T139" i="7" s="1"/>
  <c r="M333" i="7"/>
  <c r="P333" i="7" s="1"/>
  <c r="P335" i="7"/>
  <c r="I231" i="7"/>
  <c r="K242" i="7"/>
  <c r="P147" i="4"/>
  <c r="R619" i="5"/>
  <c r="S731" i="6"/>
  <c r="T731" i="6" s="1"/>
  <c r="R619" i="6"/>
  <c r="M519" i="6"/>
  <c r="P519" i="6" s="1"/>
  <c r="U418" i="6"/>
  <c r="M284" i="6"/>
  <c r="P284" i="6" s="1"/>
  <c r="I195" i="6"/>
  <c r="K195" i="6" s="1"/>
  <c r="S94" i="6"/>
  <c r="L74" i="6"/>
  <c r="O64" i="6"/>
  <c r="L21" i="7"/>
  <c r="L20" i="7"/>
  <c r="O23" i="7"/>
  <c r="P23" i="7"/>
  <c r="M20" i="7"/>
  <c r="M18" i="7" s="1"/>
  <c r="P19" i="7"/>
  <c r="M94" i="7"/>
  <c r="P94" i="7" s="1"/>
  <c r="O74" i="7"/>
  <c r="L72" i="7"/>
  <c r="O72" i="7" s="1"/>
  <c r="P175" i="7"/>
  <c r="T159" i="7"/>
  <c r="Q157" i="7"/>
  <c r="T157" i="7" s="1"/>
  <c r="M186" i="7"/>
  <c r="P186" i="7" s="1"/>
  <c r="O243" i="7"/>
  <c r="L232" i="7"/>
  <c r="T268" i="7"/>
  <c r="T642" i="7"/>
  <c r="T644" i="7"/>
  <c r="K707" i="3"/>
  <c r="K709" i="5"/>
  <c r="O189" i="5"/>
  <c r="K783" i="6"/>
  <c r="K631" i="6"/>
  <c r="T418" i="6"/>
  <c r="K293" i="6"/>
  <c r="P290" i="6"/>
  <c r="S157" i="6"/>
  <c r="M44" i="7"/>
  <c r="P46" i="7"/>
  <c r="P359" i="7"/>
  <c r="P356" i="7"/>
  <c r="Q728" i="7"/>
  <c r="T728" i="7" s="1"/>
  <c r="T730" i="7"/>
  <c r="U305" i="7"/>
  <c r="S176" i="1"/>
  <c r="J702" i="6"/>
  <c r="U621" i="6"/>
  <c r="I423" i="6"/>
  <c r="K423" i="6" s="1"/>
  <c r="K371" i="6"/>
  <c r="O341" i="6"/>
  <c r="O325" i="6"/>
  <c r="P287" i="6"/>
  <c r="L235" i="6"/>
  <c r="S188" i="6"/>
  <c r="S186" i="6" s="1"/>
  <c r="U144" i="6"/>
  <c r="O122" i="6"/>
  <c r="P77" i="6"/>
  <c r="M59" i="7"/>
  <c r="P59" i="7" s="1"/>
  <c r="P61" i="7"/>
  <c r="S21" i="7"/>
  <c r="L24" i="7"/>
  <c r="O24" i="7" s="1"/>
  <c r="O26" i="7"/>
  <c r="L157" i="7"/>
  <c r="O157" i="7" s="1"/>
  <c r="M303" i="7"/>
  <c r="P303" i="7" s="1"/>
  <c r="P173" i="7"/>
  <c r="L320" i="7"/>
  <c r="O320" i="7" s="1"/>
  <c r="L285" i="1"/>
  <c r="K779" i="3"/>
  <c r="K705" i="5"/>
  <c r="J351" i="5"/>
  <c r="K152" i="5"/>
  <c r="L65" i="5"/>
  <c r="O65" i="5" s="1"/>
  <c r="U647" i="6"/>
  <c r="U380" i="6"/>
  <c r="S375" i="6"/>
  <c r="K276" i="6"/>
  <c r="N268" i="6"/>
  <c r="N266" i="6" s="1"/>
  <c r="L236" i="6"/>
  <c r="S176" i="6"/>
  <c r="L100" i="6"/>
  <c r="O100" i="6" s="1"/>
  <c r="R97" i="6"/>
  <c r="Q72" i="6"/>
  <c r="T72" i="6" s="1"/>
  <c r="M72" i="7"/>
  <c r="P72" i="7" s="1"/>
  <c r="P74" i="7"/>
  <c r="N21" i="7"/>
  <c r="P21" i="7" s="1"/>
  <c r="N20" i="7"/>
  <c r="N18" i="7" s="1"/>
  <c r="P119" i="7"/>
  <c r="M117" i="7"/>
  <c r="P117" i="7" s="1"/>
  <c r="U303" i="7"/>
  <c r="O358" i="7"/>
  <c r="L356" i="7"/>
  <c r="O356" i="7" s="1"/>
  <c r="K374" i="7"/>
  <c r="P159" i="7"/>
  <c r="M157" i="7"/>
  <c r="P157" i="7" s="1"/>
  <c r="O175" i="7"/>
  <c r="U644" i="7"/>
  <c r="M174" i="1"/>
  <c r="P174" i="1" s="1"/>
  <c r="S142" i="5"/>
  <c r="S141" i="5"/>
  <c r="S139" i="5" s="1"/>
  <c r="K785" i="6"/>
  <c r="Q762" i="6"/>
  <c r="T762" i="6" s="1"/>
  <c r="T765" i="6"/>
  <c r="Q763" i="6"/>
  <c r="T763" i="6" s="1"/>
  <c r="S495" i="6"/>
  <c r="S493" i="6" s="1"/>
  <c r="S496" i="6"/>
  <c r="T335" i="6"/>
  <c r="Q333" i="6"/>
  <c r="T333" i="6" s="1"/>
  <c r="N222" i="1"/>
  <c r="O222" i="1" s="1"/>
  <c r="K344" i="6"/>
  <c r="I332" i="6"/>
  <c r="K772" i="6"/>
  <c r="I758" i="6"/>
  <c r="K758" i="6" s="1"/>
  <c r="K703" i="6"/>
  <c r="I701" i="6"/>
  <c r="K701" i="6" s="1"/>
  <c r="Q356" i="6"/>
  <c r="T356" i="6" s="1"/>
  <c r="T357" i="6"/>
  <c r="M616" i="6"/>
  <c r="P616" i="6" s="1"/>
  <c r="P618" i="6"/>
  <c r="Q644" i="6"/>
  <c r="T644" i="6" s="1"/>
  <c r="Q645" i="6"/>
  <c r="T645" i="6" s="1"/>
  <c r="T647" i="6"/>
  <c r="N515" i="6"/>
  <c r="N513" i="6" s="1"/>
  <c r="M339" i="6"/>
  <c r="P339" i="6" s="1"/>
  <c r="P341" i="6"/>
  <c r="M309" i="4"/>
  <c r="P309" i="4" s="1"/>
  <c r="K368" i="5"/>
  <c r="K780" i="6"/>
  <c r="R763" i="6"/>
  <c r="U763" i="6" s="1"/>
  <c r="M760" i="6"/>
  <c r="P760" i="6" s="1"/>
  <c r="T733" i="6"/>
  <c r="N714" i="6"/>
  <c r="U695" i="6"/>
  <c r="J674" i="6"/>
  <c r="S616" i="6"/>
  <c r="U616" i="6" s="1"/>
  <c r="Q599" i="6"/>
  <c r="T599" i="6" s="1"/>
  <c r="L555" i="6"/>
  <c r="O555" i="6" s="1"/>
  <c r="L519" i="6"/>
  <c r="O519" i="6" s="1"/>
  <c r="L515" i="6"/>
  <c r="O515" i="6" s="1"/>
  <c r="Q513" i="6"/>
  <c r="T513" i="6" s="1"/>
  <c r="L392" i="6"/>
  <c r="O392" i="6" s="1"/>
  <c r="S378" i="6"/>
  <c r="U378" i="6" s="1"/>
  <c r="L358" i="6"/>
  <c r="J351" i="6"/>
  <c r="L305" i="6"/>
  <c r="R306" i="6"/>
  <c r="U306" i="6" s="1"/>
  <c r="N284" i="6"/>
  <c r="N282" i="6" s="1"/>
  <c r="K265" i="6"/>
  <c r="K249" i="6"/>
  <c r="M176" i="6"/>
  <c r="Q142" i="6"/>
  <c r="T142" i="6" s="1"/>
  <c r="I137" i="6"/>
  <c r="K137" i="6" s="1"/>
  <c r="M123" i="6"/>
  <c r="P123" i="6" s="1"/>
  <c r="P122" i="6"/>
  <c r="P102" i="6"/>
  <c r="I93" i="6"/>
  <c r="K93" i="6" s="1"/>
  <c r="I82" i="6"/>
  <c r="K82" i="6" s="1"/>
  <c r="O80" i="6"/>
  <c r="L75" i="6"/>
  <c r="O75" i="6" s="1"/>
  <c r="O62" i="6"/>
  <c r="R44" i="6"/>
  <c r="U44" i="6" s="1"/>
  <c r="Q19" i="6"/>
  <c r="L309" i="4"/>
  <c r="O309" i="4" s="1"/>
  <c r="L305" i="4"/>
  <c r="L303" i="4" s="1"/>
  <c r="O303" i="4" s="1"/>
  <c r="K782" i="6"/>
  <c r="Q714" i="6"/>
  <c r="T714" i="6" s="1"/>
  <c r="T695" i="6"/>
  <c r="R693" i="6"/>
  <c r="U693" i="6" s="1"/>
  <c r="J503" i="6"/>
  <c r="J492" i="6" s="1"/>
  <c r="Q495" i="6"/>
  <c r="K457" i="6"/>
  <c r="S416" i="6"/>
  <c r="O361" i="6"/>
  <c r="N336" i="6"/>
  <c r="M323" i="6"/>
  <c r="P323" i="6" s="1"/>
  <c r="I202" i="6"/>
  <c r="K202" i="6" s="1"/>
  <c r="K127" i="6"/>
  <c r="N119" i="6"/>
  <c r="N117" i="6" s="1"/>
  <c r="M96" i="6"/>
  <c r="S97" i="6"/>
  <c r="N61" i="6"/>
  <c r="N59" i="6" s="1"/>
  <c r="Q44" i="6"/>
  <c r="T44" i="6" s="1"/>
  <c r="N19" i="6"/>
  <c r="I701" i="5"/>
  <c r="S377" i="5"/>
  <c r="T377" i="5" s="1"/>
  <c r="L336" i="5"/>
  <c r="O336" i="5" s="1"/>
  <c r="P176" i="5"/>
  <c r="Q176" i="5"/>
  <c r="T176" i="5" s="1"/>
  <c r="K784" i="6"/>
  <c r="Q693" i="6"/>
  <c r="T693" i="6" s="1"/>
  <c r="N690" i="6"/>
  <c r="J675" i="6"/>
  <c r="R645" i="6"/>
  <c r="U645" i="6" s="1"/>
  <c r="Q555" i="6"/>
  <c r="T555" i="6" s="1"/>
  <c r="N359" i="6"/>
  <c r="O359" i="6" s="1"/>
  <c r="K346" i="6"/>
  <c r="O328" i="6"/>
  <c r="M322" i="6"/>
  <c r="P322" i="6" s="1"/>
  <c r="O311" i="6"/>
  <c r="P308" i="6"/>
  <c r="M160" i="6"/>
  <c r="P160" i="6" s="1"/>
  <c r="I136" i="6"/>
  <c r="K136" i="6" s="1"/>
  <c r="T122" i="6"/>
  <c r="T77" i="6"/>
  <c r="N74" i="6"/>
  <c r="N72" i="6" s="1"/>
  <c r="T73" i="6"/>
  <c r="P62" i="6"/>
  <c r="R320" i="6"/>
  <c r="U320" i="6" s="1"/>
  <c r="L272" i="4"/>
  <c r="O272" i="4" s="1"/>
  <c r="S760" i="5"/>
  <c r="J374" i="5"/>
  <c r="Q142" i="5"/>
  <c r="T142" i="5" s="1"/>
  <c r="P77" i="5"/>
  <c r="S760" i="6"/>
  <c r="S714" i="6"/>
  <c r="N642" i="6"/>
  <c r="R576" i="6"/>
  <c r="U576" i="6" s="1"/>
  <c r="O518" i="6"/>
  <c r="Q496" i="6"/>
  <c r="T496" i="6" s="1"/>
  <c r="J457" i="6"/>
  <c r="J456" i="6" s="1"/>
  <c r="Q415" i="6"/>
  <c r="T415" i="6" s="1"/>
  <c r="K386" i="6"/>
  <c r="K330" i="6"/>
  <c r="L322" i="6"/>
  <c r="O322" i="6" s="1"/>
  <c r="S305" i="6"/>
  <c r="S303" i="6" s="1"/>
  <c r="L288" i="6"/>
  <c r="O288" i="6" s="1"/>
  <c r="I281" i="6"/>
  <c r="K281" i="6" s="1"/>
  <c r="O274" i="6"/>
  <c r="L254" i="6"/>
  <c r="O254" i="6" s="1"/>
  <c r="L214" i="6"/>
  <c r="O214" i="6" s="1"/>
  <c r="N188" i="6"/>
  <c r="N186" i="6" s="1"/>
  <c r="O165" i="6"/>
  <c r="O162" i="6"/>
  <c r="N159" i="6"/>
  <c r="N157" i="6" s="1"/>
  <c r="O147" i="6"/>
  <c r="O144" i="6"/>
  <c r="S141" i="6"/>
  <c r="S139" i="6" s="1"/>
  <c r="I138" i="6"/>
  <c r="K138" i="6" s="1"/>
  <c r="T119" i="6"/>
  <c r="M119" i="6"/>
  <c r="P119" i="6" s="1"/>
  <c r="S120" i="6"/>
  <c r="U120" i="6" s="1"/>
  <c r="M97" i="6"/>
  <c r="P97" i="6" s="1"/>
  <c r="R75" i="6"/>
  <c r="U75" i="6" s="1"/>
  <c r="P49" i="6"/>
  <c r="N47" i="6"/>
  <c r="P47" i="6" s="1"/>
  <c r="L19" i="6"/>
  <c r="K785" i="4"/>
  <c r="O518" i="4"/>
  <c r="S763" i="5"/>
  <c r="O165" i="5"/>
  <c r="N728" i="6"/>
  <c r="R714" i="6"/>
  <c r="U714" i="6" s="1"/>
  <c r="J701" i="6"/>
  <c r="S599" i="6"/>
  <c r="M555" i="6"/>
  <c r="P555" i="6" s="1"/>
  <c r="L516" i="6"/>
  <c r="O516" i="6" s="1"/>
  <c r="J374" i="6"/>
  <c r="J332" i="6"/>
  <c r="N305" i="6"/>
  <c r="N303" i="6" s="1"/>
  <c r="L284" i="6"/>
  <c r="O284" i="6" s="1"/>
  <c r="L234" i="6"/>
  <c r="O181" i="6"/>
  <c r="M163" i="6"/>
  <c r="P163" i="6" s="1"/>
  <c r="N141" i="6"/>
  <c r="N139" i="6" s="1"/>
  <c r="Q120" i="6"/>
  <c r="L97" i="6"/>
  <c r="O97" i="6" s="1"/>
  <c r="Q75" i="6"/>
  <c r="T75" i="6" s="1"/>
  <c r="O49" i="6"/>
  <c r="S728" i="6"/>
  <c r="I242" i="4"/>
  <c r="K242" i="4" s="1"/>
  <c r="Q139" i="4"/>
  <c r="T139" i="4" s="1"/>
  <c r="N74" i="4"/>
  <c r="N72" i="4" s="1"/>
  <c r="Q693" i="5"/>
  <c r="I456" i="5"/>
  <c r="K456" i="5" s="1"/>
  <c r="R377" i="5"/>
  <c r="U377" i="5" s="1"/>
  <c r="K346" i="5"/>
  <c r="P338" i="5"/>
  <c r="I302" i="5"/>
  <c r="K302" i="5" s="1"/>
  <c r="P191" i="5"/>
  <c r="M189" i="5"/>
  <c r="P189" i="5" s="1"/>
  <c r="U144" i="5"/>
  <c r="L78" i="5"/>
  <c r="O78" i="5" s="1"/>
  <c r="R762" i="6"/>
  <c r="U762" i="6" s="1"/>
  <c r="L760" i="6"/>
  <c r="O760" i="6" s="1"/>
  <c r="R690" i="6"/>
  <c r="U690" i="6" s="1"/>
  <c r="R642" i="6"/>
  <c r="U642" i="6" s="1"/>
  <c r="K626" i="6"/>
  <c r="K630" i="6"/>
  <c r="I615" i="6"/>
  <c r="K615" i="6" s="1"/>
  <c r="M599" i="6"/>
  <c r="P599" i="6" s="1"/>
  <c r="O514" i="6"/>
  <c r="N392" i="6"/>
  <c r="J343" i="6"/>
  <c r="T321" i="6"/>
  <c r="Q320" i="6"/>
  <c r="T320" i="6" s="1"/>
  <c r="P194" i="6"/>
  <c r="M192" i="6"/>
  <c r="P192" i="6" s="1"/>
  <c r="L309" i="1"/>
  <c r="O309" i="1" s="1"/>
  <c r="R534" i="6"/>
  <c r="U534" i="6" s="1"/>
  <c r="R495" i="6"/>
  <c r="U498" i="6"/>
  <c r="T376" i="6"/>
  <c r="R323" i="1"/>
  <c r="U323" i="1" s="1"/>
  <c r="K778" i="3"/>
  <c r="L642" i="6"/>
  <c r="O642" i="6" s="1"/>
  <c r="P67" i="6"/>
  <c r="M65" i="6"/>
  <c r="P65" i="6" s="1"/>
  <c r="K344" i="2"/>
  <c r="R763" i="4"/>
  <c r="J702" i="4"/>
  <c r="L335" i="4"/>
  <c r="L333" i="4" s="1"/>
  <c r="T305" i="4"/>
  <c r="K276" i="4"/>
  <c r="O271" i="4"/>
  <c r="R97" i="4"/>
  <c r="U97" i="4" s="1"/>
  <c r="K772" i="5"/>
  <c r="K689" i="5"/>
  <c r="U621" i="5"/>
  <c r="N515" i="5"/>
  <c r="N513" i="5" s="1"/>
  <c r="Q378" i="5"/>
  <c r="T378" i="5" s="1"/>
  <c r="Q269" i="5"/>
  <c r="P194" i="5"/>
  <c r="U99" i="5"/>
  <c r="P80" i="5"/>
  <c r="U761" i="6"/>
  <c r="M728" i="6"/>
  <c r="P728" i="6" s="1"/>
  <c r="K726" i="6"/>
  <c r="T716" i="6"/>
  <c r="M714" i="6"/>
  <c r="P714" i="6" s="1"/>
  <c r="S693" i="6"/>
  <c r="O692" i="6"/>
  <c r="Q690" i="6"/>
  <c r="T690" i="6" s="1"/>
  <c r="I689" i="6"/>
  <c r="K689" i="6" s="1"/>
  <c r="S645" i="6"/>
  <c r="T621" i="6"/>
  <c r="S619" i="6"/>
  <c r="L599" i="6"/>
  <c r="O599" i="6" s="1"/>
  <c r="T578" i="6"/>
  <c r="M576" i="6"/>
  <c r="P576" i="6" s="1"/>
  <c r="N534" i="6"/>
  <c r="S513" i="6"/>
  <c r="R496" i="6"/>
  <c r="U496" i="6" s="1"/>
  <c r="M493" i="6"/>
  <c r="P493" i="6" s="1"/>
  <c r="M392" i="6"/>
  <c r="P392" i="6" s="1"/>
  <c r="P393" i="6"/>
  <c r="M375" i="6"/>
  <c r="P375" i="6" s="1"/>
  <c r="K368" i="6"/>
  <c r="R333" i="6"/>
  <c r="U333" i="6" s="1"/>
  <c r="U335" i="6"/>
  <c r="K314" i="6"/>
  <c r="I302" i="6"/>
  <c r="K302" i="6" s="1"/>
  <c r="T304" i="6"/>
  <c r="L269" i="6"/>
  <c r="O269" i="6" s="1"/>
  <c r="O271" i="6"/>
  <c r="U174" i="6"/>
  <c r="I83" i="6"/>
  <c r="K85" i="6"/>
  <c r="S19" i="6"/>
  <c r="P518" i="6"/>
  <c r="M516" i="6"/>
  <c r="P516" i="6" s="1"/>
  <c r="I253" i="6"/>
  <c r="K253" i="6" s="1"/>
  <c r="K260" i="6"/>
  <c r="M334" i="1"/>
  <c r="P334" i="1" s="1"/>
  <c r="L203" i="1"/>
  <c r="O203" i="1" s="1"/>
  <c r="T378" i="4"/>
  <c r="L339" i="4"/>
  <c r="O339" i="4" s="1"/>
  <c r="R142" i="4"/>
  <c r="U142" i="4" s="1"/>
  <c r="J503" i="5"/>
  <c r="J492" i="5" s="1"/>
  <c r="S413" i="5"/>
  <c r="U380" i="5"/>
  <c r="O328" i="5"/>
  <c r="M326" i="5"/>
  <c r="P326" i="5" s="1"/>
  <c r="O181" i="5"/>
  <c r="M120" i="5"/>
  <c r="P120" i="5" s="1"/>
  <c r="S94" i="5"/>
  <c r="R730" i="6"/>
  <c r="U730" i="6" s="1"/>
  <c r="U733" i="6"/>
  <c r="L728" i="6"/>
  <c r="O728" i="6" s="1"/>
  <c r="L714" i="6"/>
  <c r="O714" i="6" s="1"/>
  <c r="R599" i="6"/>
  <c r="U599" i="6" s="1"/>
  <c r="L576" i="6"/>
  <c r="O576" i="6" s="1"/>
  <c r="U556" i="6"/>
  <c r="O556" i="6"/>
  <c r="M534" i="6"/>
  <c r="P534" i="6" s="1"/>
  <c r="P535" i="6"/>
  <c r="R513" i="6"/>
  <c r="U513" i="6" s="1"/>
  <c r="U514" i="6"/>
  <c r="L413" i="6"/>
  <c r="O413" i="6" s="1"/>
  <c r="M413" i="6"/>
  <c r="P413" i="6" s="1"/>
  <c r="L375" i="6"/>
  <c r="O375" i="6" s="1"/>
  <c r="O376" i="6"/>
  <c r="I374" i="6"/>
  <c r="M362" i="6"/>
  <c r="P362" i="6" s="1"/>
  <c r="P364" i="6"/>
  <c r="M358" i="6"/>
  <c r="P361" i="6"/>
  <c r="M359" i="6"/>
  <c r="S269" i="6"/>
  <c r="T271" i="6"/>
  <c r="L243" i="6"/>
  <c r="L233" i="6"/>
  <c r="U22" i="6"/>
  <c r="R19" i="6"/>
  <c r="U618" i="6"/>
  <c r="M336" i="6"/>
  <c r="M335" i="6"/>
  <c r="P338" i="6"/>
  <c r="O267" i="6"/>
  <c r="L175" i="6"/>
  <c r="L173" i="6" s="1"/>
  <c r="O178" i="6"/>
  <c r="L176" i="6"/>
  <c r="P359" i="5"/>
  <c r="Q618" i="6"/>
  <c r="T618" i="6" s="1"/>
  <c r="P514" i="6"/>
  <c r="Q378" i="6"/>
  <c r="Q377" i="6"/>
  <c r="T377" i="6" s="1"/>
  <c r="T380" i="6"/>
  <c r="O338" i="6"/>
  <c r="L336" i="6"/>
  <c r="P191" i="6"/>
  <c r="M188" i="6"/>
  <c r="U144" i="3"/>
  <c r="S120" i="3"/>
  <c r="U120" i="3" s="1"/>
  <c r="K344" i="4"/>
  <c r="T144" i="4"/>
  <c r="K784" i="5"/>
  <c r="K779" i="5"/>
  <c r="K703" i="5"/>
  <c r="P521" i="5"/>
  <c r="L515" i="5"/>
  <c r="O515" i="5" s="1"/>
  <c r="P364" i="5"/>
  <c r="M335" i="5"/>
  <c r="M333" i="5" s="1"/>
  <c r="L306" i="5"/>
  <c r="O306" i="5" s="1"/>
  <c r="K252" i="5"/>
  <c r="T178" i="5"/>
  <c r="S157" i="5"/>
  <c r="I83" i="5"/>
  <c r="I71" i="5" s="1"/>
  <c r="K71" i="5" s="1"/>
  <c r="U74" i="5"/>
  <c r="R72" i="5"/>
  <c r="U72" i="5" s="1"/>
  <c r="K774" i="6"/>
  <c r="S763" i="6"/>
  <c r="K632" i="6"/>
  <c r="N599" i="6"/>
  <c r="T556" i="6"/>
  <c r="S534" i="6"/>
  <c r="T414" i="6"/>
  <c r="R392" i="6"/>
  <c r="U392" i="6" s="1"/>
  <c r="U376" i="6"/>
  <c r="L362" i="6"/>
  <c r="O362" i="6" s="1"/>
  <c r="U358" i="6"/>
  <c r="R356" i="6"/>
  <c r="U356" i="6" s="1"/>
  <c r="L335" i="6"/>
  <c r="P334" i="6"/>
  <c r="Q305" i="6"/>
  <c r="T305" i="6" s="1"/>
  <c r="T308" i="6"/>
  <c r="Q306" i="6"/>
  <c r="T306" i="6" s="1"/>
  <c r="M305" i="6"/>
  <c r="Q282" i="6"/>
  <c r="T282" i="6" s="1"/>
  <c r="R269" i="6"/>
  <c r="U271" i="6"/>
  <c r="R268" i="6"/>
  <c r="R266" i="6" s="1"/>
  <c r="S268" i="6"/>
  <c r="T268" i="6" s="1"/>
  <c r="P267" i="6"/>
  <c r="L203" i="6"/>
  <c r="O203" i="6" s="1"/>
  <c r="P118" i="6"/>
  <c r="P283" i="6"/>
  <c r="P274" i="6"/>
  <c r="M272" i="6"/>
  <c r="P272" i="6" s="1"/>
  <c r="U267" i="6"/>
  <c r="O194" i="6"/>
  <c r="L192" i="6"/>
  <c r="O192" i="6" s="1"/>
  <c r="O191" i="6"/>
  <c r="L189" i="6"/>
  <c r="O189" i="6" s="1"/>
  <c r="U188" i="6"/>
  <c r="R186" i="6"/>
  <c r="U186" i="6" s="1"/>
  <c r="R175" i="6"/>
  <c r="U175" i="6" s="1"/>
  <c r="U178" i="6"/>
  <c r="Q159" i="6"/>
  <c r="T162" i="6"/>
  <c r="U96" i="6"/>
  <c r="R94" i="6"/>
  <c r="O67" i="6"/>
  <c r="L65" i="6"/>
  <c r="O65" i="6" s="1"/>
  <c r="L61" i="6"/>
  <c r="R24" i="6"/>
  <c r="U24" i="6" s="1"/>
  <c r="U25" i="6"/>
  <c r="T19" i="6"/>
  <c r="U321" i="6"/>
  <c r="I238" i="6"/>
  <c r="K238" i="6" s="1"/>
  <c r="I213" i="6"/>
  <c r="K213" i="6" s="1"/>
  <c r="K220" i="6"/>
  <c r="Q186" i="6"/>
  <c r="T186" i="6" s="1"/>
  <c r="T187" i="6"/>
  <c r="K169" i="6"/>
  <c r="I156" i="6"/>
  <c r="K156" i="6" s="1"/>
  <c r="P147" i="6"/>
  <c r="M145" i="6"/>
  <c r="P145" i="6" s="1"/>
  <c r="M141" i="6"/>
  <c r="P141" i="6" s="1"/>
  <c r="Q23" i="6"/>
  <c r="T99" i="6"/>
  <c r="Q97" i="6"/>
  <c r="K369" i="6"/>
  <c r="S282" i="6"/>
  <c r="N269" i="6"/>
  <c r="Q266" i="6"/>
  <c r="U191" i="6"/>
  <c r="R189" i="6"/>
  <c r="U189" i="6" s="1"/>
  <c r="N176" i="6"/>
  <c r="N175" i="6"/>
  <c r="N173" i="6" s="1"/>
  <c r="P178" i="6"/>
  <c r="T175" i="6"/>
  <c r="P174" i="6"/>
  <c r="Q96" i="6"/>
  <c r="T96" i="6" s="1"/>
  <c r="R282" i="6"/>
  <c r="U282" i="6" s="1"/>
  <c r="P271" i="6"/>
  <c r="M269" i="6"/>
  <c r="M268" i="6"/>
  <c r="T191" i="6"/>
  <c r="Q189" i="6"/>
  <c r="T189" i="6" s="1"/>
  <c r="L188" i="6"/>
  <c r="O174" i="6"/>
  <c r="R72" i="6"/>
  <c r="U72" i="6" s="1"/>
  <c r="U74" i="6"/>
  <c r="P60" i="6"/>
  <c r="O19" i="6"/>
  <c r="P19" i="6"/>
  <c r="Q176" i="6"/>
  <c r="T176" i="6" s="1"/>
  <c r="P144" i="6"/>
  <c r="M142" i="6"/>
  <c r="P142" i="6" s="1"/>
  <c r="O118" i="6"/>
  <c r="P73" i="6"/>
  <c r="P52" i="6"/>
  <c r="M26" i="6"/>
  <c r="P26" i="6" s="1"/>
  <c r="M50" i="6"/>
  <c r="P50" i="6" s="1"/>
  <c r="P45" i="6"/>
  <c r="N26" i="6"/>
  <c r="N24" i="6" s="1"/>
  <c r="P25" i="6"/>
  <c r="R141" i="6"/>
  <c r="S117" i="6"/>
  <c r="T117" i="6" s="1"/>
  <c r="O52" i="6"/>
  <c r="L26" i="6"/>
  <c r="O26" i="6" s="1"/>
  <c r="L50" i="6"/>
  <c r="O50" i="6" s="1"/>
  <c r="L46" i="6"/>
  <c r="O25" i="6"/>
  <c r="N23" i="6"/>
  <c r="P22" i="6"/>
  <c r="U118" i="6"/>
  <c r="O22" i="6"/>
  <c r="M159" i="6"/>
  <c r="Q141" i="6"/>
  <c r="U99" i="6"/>
  <c r="O99" i="6"/>
  <c r="K84" i="6"/>
  <c r="S23" i="6"/>
  <c r="S20" i="6" s="1"/>
  <c r="M23" i="6"/>
  <c r="M21" i="6" s="1"/>
  <c r="R159" i="6"/>
  <c r="U159" i="6" s="1"/>
  <c r="L159" i="6"/>
  <c r="O159" i="6" s="1"/>
  <c r="R119" i="6"/>
  <c r="U119" i="6" s="1"/>
  <c r="L119" i="6"/>
  <c r="O119" i="6" s="1"/>
  <c r="N96" i="6"/>
  <c r="N94" i="6" s="1"/>
  <c r="S74" i="6"/>
  <c r="S72" i="6" s="1"/>
  <c r="M74" i="6"/>
  <c r="P74" i="6" s="1"/>
  <c r="M61" i="6"/>
  <c r="M46" i="6"/>
  <c r="R23" i="6"/>
  <c r="L23" i="6"/>
  <c r="R272" i="1"/>
  <c r="U272" i="1" s="1"/>
  <c r="N323" i="1"/>
  <c r="K368" i="4"/>
  <c r="S141" i="4"/>
  <c r="S139" i="4" s="1"/>
  <c r="S142" i="4"/>
  <c r="J674" i="5"/>
  <c r="U418" i="5"/>
  <c r="R416" i="5"/>
  <c r="U416" i="5" s="1"/>
  <c r="R415" i="5"/>
  <c r="Q375" i="5"/>
  <c r="K371" i="5"/>
  <c r="I365" i="5"/>
  <c r="K365" i="5" s="1"/>
  <c r="R188" i="5"/>
  <c r="U188" i="5" s="1"/>
  <c r="R189" i="5"/>
  <c r="I82" i="5"/>
  <c r="K82" i="5" s="1"/>
  <c r="L61" i="5"/>
  <c r="L59" i="5" s="1"/>
  <c r="L62" i="5"/>
  <c r="O62" i="5" s="1"/>
  <c r="R305" i="5"/>
  <c r="U305" i="5" s="1"/>
  <c r="R306" i="5"/>
  <c r="N141" i="5"/>
  <c r="N139" i="5" s="1"/>
  <c r="N142" i="5"/>
  <c r="O142" i="5" s="1"/>
  <c r="K780" i="3"/>
  <c r="Q159" i="1"/>
  <c r="T159" i="1" s="1"/>
  <c r="J675" i="1"/>
  <c r="N284" i="3"/>
  <c r="N282" i="3" s="1"/>
  <c r="M358" i="4"/>
  <c r="M356" i="4" s="1"/>
  <c r="K727" i="5"/>
  <c r="M555" i="5"/>
  <c r="P555" i="5" s="1"/>
  <c r="I492" i="5"/>
  <c r="K492" i="5" s="1"/>
  <c r="K503" i="5"/>
  <c r="M413" i="5"/>
  <c r="P413" i="5" s="1"/>
  <c r="P414" i="5"/>
  <c r="P393" i="5"/>
  <c r="M392" i="5"/>
  <c r="P392" i="5" s="1"/>
  <c r="Q320" i="5"/>
  <c r="T320" i="5" s="1"/>
  <c r="M309" i="5"/>
  <c r="P309" i="5" s="1"/>
  <c r="P311" i="5"/>
  <c r="O194" i="5"/>
  <c r="L192" i="5"/>
  <c r="O192" i="5" s="1"/>
  <c r="S175" i="5"/>
  <c r="S173" i="5" s="1"/>
  <c r="S176" i="5"/>
  <c r="K137" i="5"/>
  <c r="R119" i="5"/>
  <c r="U119" i="5" s="1"/>
  <c r="U122" i="5"/>
  <c r="U118" i="5"/>
  <c r="O73" i="5"/>
  <c r="Q59" i="5"/>
  <c r="T59" i="5" s="1"/>
  <c r="T60" i="5"/>
  <c r="U45" i="5"/>
  <c r="R44" i="5"/>
  <c r="U44" i="5" s="1"/>
  <c r="T25" i="5"/>
  <c r="Q24" i="5"/>
  <c r="T24" i="5" s="1"/>
  <c r="M120" i="4"/>
  <c r="P120" i="4" s="1"/>
  <c r="P600" i="5"/>
  <c r="M599" i="5"/>
  <c r="P599" i="5" s="1"/>
  <c r="M375" i="5"/>
  <c r="P375" i="5" s="1"/>
  <c r="P376" i="5"/>
  <c r="Q160" i="5"/>
  <c r="T160" i="5" s="1"/>
  <c r="T162" i="5"/>
  <c r="Q618" i="4"/>
  <c r="Q616" i="4" s="1"/>
  <c r="P328" i="4"/>
  <c r="K780" i="5"/>
  <c r="R714" i="5"/>
  <c r="U714" i="5" s="1"/>
  <c r="J675" i="5"/>
  <c r="Q645" i="5"/>
  <c r="T645" i="5" s="1"/>
  <c r="Q644" i="5"/>
  <c r="T644" i="5" s="1"/>
  <c r="P643" i="5"/>
  <c r="R576" i="5"/>
  <c r="U576" i="5" s="1"/>
  <c r="N516" i="5"/>
  <c r="R496" i="5"/>
  <c r="U496" i="5" s="1"/>
  <c r="R495" i="5"/>
  <c r="U495" i="5" s="1"/>
  <c r="K330" i="5"/>
  <c r="L309" i="5"/>
  <c r="O309" i="5" s="1"/>
  <c r="O311" i="5"/>
  <c r="K209" i="5"/>
  <c r="Q159" i="5"/>
  <c r="Q157" i="5" s="1"/>
  <c r="T157" i="5" s="1"/>
  <c r="Q120" i="5"/>
  <c r="Q119" i="5"/>
  <c r="Q117" i="5" s="1"/>
  <c r="T117" i="5" s="1"/>
  <c r="Q44" i="5"/>
  <c r="T44" i="5" s="1"/>
  <c r="T45" i="5"/>
  <c r="R692" i="5"/>
  <c r="R690" i="5" s="1"/>
  <c r="R693" i="5"/>
  <c r="Q690" i="5"/>
  <c r="T691" i="5"/>
  <c r="Q333" i="5"/>
  <c r="T333" i="5" s="1"/>
  <c r="T335" i="5"/>
  <c r="L323" i="5"/>
  <c r="O323" i="5" s="1"/>
  <c r="O325" i="5"/>
  <c r="L322" i="5"/>
  <c r="O322" i="5" s="1"/>
  <c r="M62" i="5"/>
  <c r="P62" i="5" s="1"/>
  <c r="P64" i="5"/>
  <c r="S693" i="4"/>
  <c r="U693" i="4" s="1"/>
  <c r="K314" i="4"/>
  <c r="O49" i="4"/>
  <c r="O716" i="5"/>
  <c r="O600" i="5"/>
  <c r="L534" i="5"/>
  <c r="O534" i="5" s="1"/>
  <c r="L359" i="5"/>
  <c r="O359" i="5" s="1"/>
  <c r="O361" i="5"/>
  <c r="M339" i="5"/>
  <c r="P339" i="5" s="1"/>
  <c r="P341" i="5"/>
  <c r="K293" i="5"/>
  <c r="I280" i="5"/>
  <c r="K280" i="5" s="1"/>
  <c r="O290" i="5"/>
  <c r="L288" i="5"/>
  <c r="O288" i="5" s="1"/>
  <c r="Q173" i="5"/>
  <c r="T173" i="5" s="1"/>
  <c r="T175" i="5"/>
  <c r="P125" i="5"/>
  <c r="M123" i="5"/>
  <c r="P123" i="5" s="1"/>
  <c r="Q74" i="5"/>
  <c r="T74" i="5" s="1"/>
  <c r="T77" i="5"/>
  <c r="S730" i="5"/>
  <c r="S728" i="5" s="1"/>
  <c r="S731" i="5"/>
  <c r="T731" i="5" s="1"/>
  <c r="L119" i="5"/>
  <c r="O119" i="5" s="1"/>
  <c r="O122" i="5"/>
  <c r="S381" i="1"/>
  <c r="I156" i="1"/>
  <c r="K156" i="1" s="1"/>
  <c r="J374" i="1"/>
  <c r="L644" i="1"/>
  <c r="O644" i="1" s="1"/>
  <c r="U308" i="2"/>
  <c r="K781" i="3"/>
  <c r="L305" i="3"/>
  <c r="O305" i="3" s="1"/>
  <c r="S763" i="4"/>
  <c r="I423" i="4"/>
  <c r="I412" i="4" s="1"/>
  <c r="K412" i="4" s="1"/>
  <c r="J332" i="4"/>
  <c r="K332" i="4" s="1"/>
  <c r="P287" i="4"/>
  <c r="M97" i="4"/>
  <c r="P97" i="4" s="1"/>
  <c r="P99" i="4"/>
  <c r="R762" i="5"/>
  <c r="R760" i="5" s="1"/>
  <c r="U760" i="5" s="1"/>
  <c r="R763" i="5"/>
  <c r="U763" i="5" s="1"/>
  <c r="U765" i="5"/>
  <c r="U695" i="5"/>
  <c r="K629" i="5"/>
  <c r="R616" i="5"/>
  <c r="S534" i="5"/>
  <c r="I374" i="5"/>
  <c r="K386" i="5"/>
  <c r="K251" i="5"/>
  <c r="K229" i="5"/>
  <c r="R159" i="5"/>
  <c r="U159" i="5" s="1"/>
  <c r="U162" i="5"/>
  <c r="O144" i="5"/>
  <c r="K127" i="5"/>
  <c r="L123" i="5"/>
  <c r="O123" i="5" s="1"/>
  <c r="O125" i="5"/>
  <c r="M47" i="5"/>
  <c r="P47" i="5" s="1"/>
  <c r="P49" i="5"/>
  <c r="T271" i="4"/>
  <c r="Q269" i="4"/>
  <c r="P178" i="4"/>
  <c r="J702" i="5"/>
  <c r="N690" i="5"/>
  <c r="L616" i="5"/>
  <c r="O616" i="5" s="1"/>
  <c r="R599" i="5"/>
  <c r="U599" i="5" s="1"/>
  <c r="S496" i="5"/>
  <c r="M493" i="5"/>
  <c r="P493" i="5" s="1"/>
  <c r="S416" i="5"/>
  <c r="L413" i="5"/>
  <c r="O413" i="5" s="1"/>
  <c r="L392" i="5"/>
  <c r="O392" i="5" s="1"/>
  <c r="T380" i="5"/>
  <c r="P336" i="5"/>
  <c r="O287" i="5"/>
  <c r="K195" i="5"/>
  <c r="K172" i="5"/>
  <c r="M163" i="5"/>
  <c r="P163" i="5" s="1"/>
  <c r="T144" i="5"/>
  <c r="P102" i="5"/>
  <c r="L50" i="5"/>
  <c r="O50" i="5" s="1"/>
  <c r="L46" i="5"/>
  <c r="L44" i="5" s="1"/>
  <c r="K293" i="4"/>
  <c r="L233" i="4"/>
  <c r="K781" i="5"/>
  <c r="Q763" i="5"/>
  <c r="T763" i="5" s="1"/>
  <c r="M714" i="5"/>
  <c r="P714" i="5" s="1"/>
  <c r="J701" i="5"/>
  <c r="M690" i="5"/>
  <c r="P690" i="5" s="1"/>
  <c r="Q513" i="5"/>
  <c r="T513" i="5" s="1"/>
  <c r="J457" i="5"/>
  <c r="J456" i="5" s="1"/>
  <c r="R392" i="5"/>
  <c r="U392" i="5" s="1"/>
  <c r="S333" i="5"/>
  <c r="L236" i="5"/>
  <c r="L233" i="5"/>
  <c r="R24" i="5"/>
  <c r="U24" i="5" s="1"/>
  <c r="K213" i="5"/>
  <c r="L214" i="5"/>
  <c r="O214" i="5" s="1"/>
  <c r="M188" i="5"/>
  <c r="M186" i="5" s="1"/>
  <c r="S189" i="5"/>
  <c r="M159" i="5"/>
  <c r="P159" i="5" s="1"/>
  <c r="S160" i="5"/>
  <c r="K108" i="5"/>
  <c r="M96" i="5"/>
  <c r="P96" i="5" s="1"/>
  <c r="S97" i="5"/>
  <c r="R75" i="5"/>
  <c r="U75" i="5" s="1"/>
  <c r="R59" i="5"/>
  <c r="U59" i="5" s="1"/>
  <c r="L47" i="5"/>
  <c r="O47" i="5" s="1"/>
  <c r="K785" i="5"/>
  <c r="O761" i="5"/>
  <c r="O617" i="5"/>
  <c r="S599" i="5"/>
  <c r="N599" i="5"/>
  <c r="L576" i="5"/>
  <c r="O576" i="5" s="1"/>
  <c r="N493" i="5"/>
  <c r="N358" i="5"/>
  <c r="N356" i="5" s="1"/>
  <c r="T308" i="5"/>
  <c r="L305" i="5"/>
  <c r="L284" i="5"/>
  <c r="O284" i="5" s="1"/>
  <c r="N268" i="5"/>
  <c r="N266" i="5" s="1"/>
  <c r="L254" i="5"/>
  <c r="O254" i="5" s="1"/>
  <c r="K241" i="5"/>
  <c r="L235" i="5"/>
  <c r="J231" i="5"/>
  <c r="J185" i="5" s="1"/>
  <c r="L222" i="5"/>
  <c r="O222" i="5" s="1"/>
  <c r="L188" i="5"/>
  <c r="L186" i="5" s="1"/>
  <c r="L159" i="5"/>
  <c r="O159" i="5" s="1"/>
  <c r="I138" i="5"/>
  <c r="K138" i="5" s="1"/>
  <c r="M119" i="5"/>
  <c r="P119" i="5" s="1"/>
  <c r="S120" i="5"/>
  <c r="L96" i="5"/>
  <c r="O96" i="5" s="1"/>
  <c r="M97" i="5"/>
  <c r="P97" i="5" s="1"/>
  <c r="R94" i="5"/>
  <c r="U94" i="5" s="1"/>
  <c r="L74" i="5"/>
  <c r="O74" i="5" s="1"/>
  <c r="L75" i="5"/>
  <c r="O75" i="5" s="1"/>
  <c r="T762" i="5"/>
  <c r="Q760" i="5"/>
  <c r="T760" i="5" s="1"/>
  <c r="R644" i="5"/>
  <c r="S618" i="5"/>
  <c r="S616" i="5" s="1"/>
  <c r="L362" i="5"/>
  <c r="O362" i="5" s="1"/>
  <c r="N322" i="5"/>
  <c r="N320" i="5" s="1"/>
  <c r="N323" i="5"/>
  <c r="N145" i="1"/>
  <c r="K705" i="3"/>
  <c r="Q534" i="5"/>
  <c r="T534" i="5" s="1"/>
  <c r="T535" i="5"/>
  <c r="L358" i="5"/>
  <c r="M358" i="5"/>
  <c r="Q266" i="5"/>
  <c r="T267" i="5"/>
  <c r="K778" i="2"/>
  <c r="I374" i="3"/>
  <c r="R378" i="3"/>
  <c r="U378" i="3" s="1"/>
  <c r="K209" i="3"/>
  <c r="L203" i="3"/>
  <c r="O203" i="3" s="1"/>
  <c r="K183" i="3"/>
  <c r="R645" i="4"/>
  <c r="U645" i="4" s="1"/>
  <c r="J351" i="4"/>
  <c r="I319" i="4"/>
  <c r="K319" i="4" s="1"/>
  <c r="M305" i="4"/>
  <c r="P305" i="4" s="1"/>
  <c r="L234" i="4"/>
  <c r="O77" i="4"/>
  <c r="T765" i="5"/>
  <c r="Q730" i="5"/>
  <c r="N728" i="5"/>
  <c r="N714" i="5"/>
  <c r="T643" i="5"/>
  <c r="Q618" i="5"/>
  <c r="Q616" i="5" s="1"/>
  <c r="N576" i="5"/>
  <c r="Q555" i="5"/>
  <c r="T555" i="5" s="1"/>
  <c r="O535" i="5"/>
  <c r="L516" i="5"/>
  <c r="O516" i="5" s="1"/>
  <c r="M515" i="5"/>
  <c r="P515" i="5" s="1"/>
  <c r="R513" i="5"/>
  <c r="U513" i="5" s="1"/>
  <c r="O414" i="5"/>
  <c r="O334" i="5"/>
  <c r="M306" i="5"/>
  <c r="P306" i="5" s="1"/>
  <c r="M305" i="5"/>
  <c r="P305" i="5" s="1"/>
  <c r="P308" i="5"/>
  <c r="Q282" i="5"/>
  <c r="T282" i="5" s="1"/>
  <c r="T283" i="5"/>
  <c r="L175" i="5"/>
  <c r="L173" i="5" s="1"/>
  <c r="L176" i="5"/>
  <c r="O176" i="5" s="1"/>
  <c r="O178" i="5"/>
  <c r="N175" i="5"/>
  <c r="N173" i="5" s="1"/>
  <c r="Q576" i="5"/>
  <c r="T576" i="5" s="1"/>
  <c r="T577" i="5"/>
  <c r="P271" i="5"/>
  <c r="M269" i="5"/>
  <c r="P269" i="5" s="1"/>
  <c r="M268" i="5"/>
  <c r="R495" i="4"/>
  <c r="U495" i="4" s="1"/>
  <c r="L214" i="4"/>
  <c r="O214" i="4" s="1"/>
  <c r="L159" i="4"/>
  <c r="O159" i="4" s="1"/>
  <c r="Q356" i="5"/>
  <c r="T356" i="5" s="1"/>
  <c r="P325" i="5"/>
  <c r="M322" i="5"/>
  <c r="M323" i="5"/>
  <c r="P323" i="5" s="1"/>
  <c r="Q496" i="4"/>
  <c r="T496" i="4" s="1"/>
  <c r="S377" i="4"/>
  <c r="S375" i="4" s="1"/>
  <c r="L336" i="4"/>
  <c r="O336" i="4" s="1"/>
  <c r="O189" i="4"/>
  <c r="S157" i="4"/>
  <c r="M100" i="4"/>
  <c r="P100" i="4" s="1"/>
  <c r="M760" i="5"/>
  <c r="P760" i="5" s="1"/>
  <c r="P716" i="5"/>
  <c r="T715" i="5"/>
  <c r="S693" i="5"/>
  <c r="T695" i="5"/>
  <c r="S692" i="5"/>
  <c r="U647" i="5"/>
  <c r="O644" i="5"/>
  <c r="M576" i="5"/>
  <c r="P576" i="5" s="1"/>
  <c r="R555" i="5"/>
  <c r="U555" i="5" s="1"/>
  <c r="N534" i="5"/>
  <c r="T418" i="5"/>
  <c r="Q415" i="5"/>
  <c r="T415" i="5" s="1"/>
  <c r="L375" i="5"/>
  <c r="O375" i="5" s="1"/>
  <c r="P361" i="5"/>
  <c r="P357" i="5"/>
  <c r="L335" i="5"/>
  <c r="L333" i="5" s="1"/>
  <c r="L339" i="5"/>
  <c r="O339" i="5" s="1"/>
  <c r="U334" i="5"/>
  <c r="R333" i="5"/>
  <c r="U333" i="5" s="1"/>
  <c r="U308" i="5"/>
  <c r="S306" i="5"/>
  <c r="S303" i="5"/>
  <c r="K292" i="5"/>
  <c r="I281" i="5"/>
  <c r="K281" i="5" s="1"/>
  <c r="N243" i="5"/>
  <c r="N232" i="5" s="1"/>
  <c r="T191" i="5"/>
  <c r="Q189" i="5"/>
  <c r="Q188" i="5"/>
  <c r="T188" i="5" s="1"/>
  <c r="P181" i="5"/>
  <c r="M179" i="5"/>
  <c r="P179" i="5" s="1"/>
  <c r="P25" i="5"/>
  <c r="L160" i="4"/>
  <c r="O160" i="4" s="1"/>
  <c r="R730" i="5"/>
  <c r="U733" i="5"/>
  <c r="N214" i="1"/>
  <c r="O214" i="1" s="1"/>
  <c r="K369" i="5"/>
  <c r="N306" i="5"/>
  <c r="N305" i="5"/>
  <c r="N303" i="5" s="1"/>
  <c r="K709" i="3"/>
  <c r="J701" i="3"/>
  <c r="S160" i="3"/>
  <c r="K781" i="4"/>
  <c r="K709" i="4"/>
  <c r="I701" i="4"/>
  <c r="U647" i="4"/>
  <c r="L519" i="4"/>
  <c r="O519" i="4" s="1"/>
  <c r="U498" i="4"/>
  <c r="Q186" i="4"/>
  <c r="S175" i="4"/>
  <c r="S173" i="4" s="1"/>
  <c r="R120" i="4"/>
  <c r="P80" i="4"/>
  <c r="U77" i="4"/>
  <c r="T733" i="5"/>
  <c r="R731" i="5"/>
  <c r="K707" i="5"/>
  <c r="P691" i="5"/>
  <c r="S619" i="5"/>
  <c r="Q599" i="5"/>
  <c r="T599" i="5" s="1"/>
  <c r="T600" i="5"/>
  <c r="U535" i="5"/>
  <c r="M534" i="5"/>
  <c r="P534" i="5" s="1"/>
  <c r="T514" i="5"/>
  <c r="S493" i="5"/>
  <c r="L493" i="5"/>
  <c r="O493" i="5" s="1"/>
  <c r="O494" i="5"/>
  <c r="Q392" i="5"/>
  <c r="T392" i="5" s="1"/>
  <c r="T393" i="5"/>
  <c r="S356" i="5"/>
  <c r="U268" i="5"/>
  <c r="R266" i="5"/>
  <c r="M285" i="5"/>
  <c r="P285" i="5" s="1"/>
  <c r="P287" i="5"/>
  <c r="M284" i="5"/>
  <c r="L236" i="4"/>
  <c r="K344" i="5"/>
  <c r="J332" i="5"/>
  <c r="K332" i="5" s="1"/>
  <c r="J343" i="5"/>
  <c r="R693" i="3"/>
  <c r="K386" i="3"/>
  <c r="N305" i="3"/>
  <c r="N303" i="3" s="1"/>
  <c r="K778" i="4"/>
  <c r="J674" i="4"/>
  <c r="T621" i="4"/>
  <c r="J374" i="4"/>
  <c r="N188" i="4"/>
  <c r="N186" i="4" s="1"/>
  <c r="S160" i="4"/>
  <c r="K109" i="4"/>
  <c r="M728" i="5"/>
  <c r="P728" i="5" s="1"/>
  <c r="S644" i="5"/>
  <c r="S642" i="5" s="1"/>
  <c r="K632" i="5"/>
  <c r="I615" i="5"/>
  <c r="K615" i="5" s="1"/>
  <c r="K626" i="5"/>
  <c r="K630" i="5"/>
  <c r="T621" i="5"/>
  <c r="N555" i="5"/>
  <c r="P518" i="5"/>
  <c r="Q495" i="5"/>
  <c r="T498" i="5"/>
  <c r="U494" i="5"/>
  <c r="K440" i="5"/>
  <c r="I423" i="5"/>
  <c r="N285" i="5"/>
  <c r="N284" i="5"/>
  <c r="N282" i="5" s="1"/>
  <c r="N335" i="5"/>
  <c r="P274" i="5"/>
  <c r="M272" i="5"/>
  <c r="P272" i="5" s="1"/>
  <c r="O271" i="5"/>
  <c r="L269" i="5"/>
  <c r="O269" i="5" s="1"/>
  <c r="L234" i="5"/>
  <c r="N160" i="5"/>
  <c r="N159" i="5"/>
  <c r="N157" i="5" s="1"/>
  <c r="O158" i="5"/>
  <c r="P118" i="5"/>
  <c r="R320" i="5"/>
  <c r="U320" i="5" s="1"/>
  <c r="Q306" i="5"/>
  <c r="Q305" i="5"/>
  <c r="T305" i="5" s="1"/>
  <c r="O283" i="5"/>
  <c r="O274" i="5"/>
  <c r="L272" i="5"/>
  <c r="O272" i="5" s="1"/>
  <c r="T271" i="5"/>
  <c r="S269" i="5"/>
  <c r="L268" i="5"/>
  <c r="I231" i="5"/>
  <c r="I185" i="5" s="1"/>
  <c r="K242" i="5"/>
  <c r="R175" i="5"/>
  <c r="U175" i="5" s="1"/>
  <c r="R176" i="5"/>
  <c r="U176" i="5" s="1"/>
  <c r="U178" i="5"/>
  <c r="L145" i="5"/>
  <c r="O145" i="5" s="1"/>
  <c r="L141" i="5"/>
  <c r="O147" i="5"/>
  <c r="P144" i="5"/>
  <c r="M142" i="5"/>
  <c r="M141" i="5"/>
  <c r="P140" i="5"/>
  <c r="N123" i="5"/>
  <c r="N119" i="5"/>
  <c r="N117" i="5" s="1"/>
  <c r="U271" i="5"/>
  <c r="R269" i="5"/>
  <c r="S266" i="5"/>
  <c r="I265" i="5"/>
  <c r="K265" i="5" s="1"/>
  <c r="U158" i="5"/>
  <c r="L26" i="5"/>
  <c r="T99" i="5"/>
  <c r="Q97" i="5"/>
  <c r="T97" i="5" s="1"/>
  <c r="Q96" i="5"/>
  <c r="S19" i="5"/>
  <c r="R282" i="5"/>
  <c r="U282" i="5" s="1"/>
  <c r="U283" i="5"/>
  <c r="T268" i="5"/>
  <c r="L203" i="5"/>
  <c r="O203" i="5" s="1"/>
  <c r="K154" i="5"/>
  <c r="I136" i="5"/>
  <c r="K136" i="5" s="1"/>
  <c r="P67" i="5"/>
  <c r="M65" i="5"/>
  <c r="P65" i="5" s="1"/>
  <c r="P304" i="5"/>
  <c r="K249" i="5"/>
  <c r="L243" i="5"/>
  <c r="I238" i="5"/>
  <c r="K238" i="5" s="1"/>
  <c r="K220" i="5"/>
  <c r="U191" i="5"/>
  <c r="O191" i="5"/>
  <c r="R141" i="5"/>
  <c r="T122" i="5"/>
  <c r="N26" i="5"/>
  <c r="N24" i="5" s="1"/>
  <c r="K260" i="5"/>
  <c r="K198" i="5"/>
  <c r="N188" i="5"/>
  <c r="I93" i="5"/>
  <c r="K93" i="5" s="1"/>
  <c r="K109" i="5"/>
  <c r="P52" i="5"/>
  <c r="M26" i="5"/>
  <c r="P26" i="5" s="1"/>
  <c r="M50" i="5"/>
  <c r="P50" i="5" s="1"/>
  <c r="K169" i="5"/>
  <c r="I156" i="5"/>
  <c r="K156" i="5" s="1"/>
  <c r="P22" i="5"/>
  <c r="M19" i="5"/>
  <c r="M175" i="5"/>
  <c r="P147" i="5"/>
  <c r="M145" i="5"/>
  <c r="P145" i="5" s="1"/>
  <c r="Q139" i="5"/>
  <c r="T139" i="5" s="1"/>
  <c r="P178" i="5"/>
  <c r="P162" i="5"/>
  <c r="R160" i="5"/>
  <c r="U160" i="5" s="1"/>
  <c r="L160" i="5"/>
  <c r="O160" i="5" s="1"/>
  <c r="R120" i="5"/>
  <c r="L120" i="5"/>
  <c r="O120" i="5" s="1"/>
  <c r="L100" i="5"/>
  <c r="O100" i="5" s="1"/>
  <c r="R97" i="5"/>
  <c r="U97" i="5" s="1"/>
  <c r="L97" i="5"/>
  <c r="O97" i="5" s="1"/>
  <c r="Q75" i="5"/>
  <c r="T75" i="5" s="1"/>
  <c r="O64" i="5"/>
  <c r="N50" i="5"/>
  <c r="O49" i="5"/>
  <c r="N23" i="5"/>
  <c r="R19" i="5"/>
  <c r="L19" i="5"/>
  <c r="N74" i="5"/>
  <c r="N72" i="5" s="1"/>
  <c r="N61" i="5"/>
  <c r="N46" i="5"/>
  <c r="S23" i="5"/>
  <c r="S20" i="5" s="1"/>
  <c r="M23" i="5"/>
  <c r="M21" i="5" s="1"/>
  <c r="Q19" i="5"/>
  <c r="N96" i="5"/>
  <c r="N94" i="5" s="1"/>
  <c r="S74" i="5"/>
  <c r="S72" i="5" s="1"/>
  <c r="M74" i="5"/>
  <c r="M61" i="5"/>
  <c r="M46" i="5"/>
  <c r="R23" i="5"/>
  <c r="L23" i="5"/>
  <c r="Q23" i="5"/>
  <c r="Q269" i="1"/>
  <c r="T647" i="3"/>
  <c r="T765" i="4"/>
  <c r="Q763" i="4"/>
  <c r="O729" i="4"/>
  <c r="L728" i="4"/>
  <c r="O728" i="4" s="1"/>
  <c r="J675" i="4"/>
  <c r="Q645" i="4"/>
  <c r="T645" i="4" s="1"/>
  <c r="Q644" i="4"/>
  <c r="T644" i="4" s="1"/>
  <c r="T647" i="4"/>
  <c r="R619" i="4"/>
  <c r="U619" i="4" s="1"/>
  <c r="U621" i="4"/>
  <c r="R618" i="4"/>
  <c r="L362" i="4"/>
  <c r="O362" i="4" s="1"/>
  <c r="O364" i="4"/>
  <c r="L145" i="4"/>
  <c r="O145" i="4" s="1"/>
  <c r="O147" i="4"/>
  <c r="S96" i="4"/>
  <c r="S94" i="4" s="1"/>
  <c r="S97" i="4"/>
  <c r="L96" i="4"/>
  <c r="L97" i="4"/>
  <c r="O97" i="4" s="1"/>
  <c r="Q75" i="4"/>
  <c r="T75" i="4" s="1"/>
  <c r="Q72" i="4"/>
  <c r="T72" i="4" s="1"/>
  <c r="M536" i="1"/>
  <c r="P536" i="1" s="1"/>
  <c r="Q496" i="2"/>
  <c r="J374" i="2"/>
  <c r="U380" i="2"/>
  <c r="K785" i="3"/>
  <c r="K727" i="3"/>
  <c r="K369" i="3"/>
  <c r="J332" i="3"/>
  <c r="S269" i="3"/>
  <c r="U269" i="3" s="1"/>
  <c r="O160" i="3"/>
  <c r="N141" i="3"/>
  <c r="N139" i="3" s="1"/>
  <c r="K784" i="4"/>
  <c r="S760" i="4"/>
  <c r="M760" i="4"/>
  <c r="P760" i="4" s="1"/>
  <c r="T715" i="4"/>
  <c r="L690" i="4"/>
  <c r="O690" i="4" s="1"/>
  <c r="O691" i="4"/>
  <c r="N309" i="4"/>
  <c r="N305" i="4"/>
  <c r="N303" i="4" s="1"/>
  <c r="U178" i="4"/>
  <c r="R175" i="4"/>
  <c r="U175" i="4" s="1"/>
  <c r="M159" i="4"/>
  <c r="M157" i="4" s="1"/>
  <c r="P157" i="4" s="1"/>
  <c r="M47" i="4"/>
  <c r="P47" i="4" s="1"/>
  <c r="P49" i="4"/>
  <c r="P521" i="2"/>
  <c r="K314" i="2"/>
  <c r="K784" i="3"/>
  <c r="K314" i="3"/>
  <c r="O274" i="3"/>
  <c r="U271" i="3"/>
  <c r="R141" i="3"/>
  <c r="R139" i="3" s="1"/>
  <c r="U139" i="3" s="1"/>
  <c r="Q760" i="4"/>
  <c r="R730" i="4"/>
  <c r="R728" i="4" s="1"/>
  <c r="R731" i="4"/>
  <c r="U731" i="4" s="1"/>
  <c r="R714" i="4"/>
  <c r="U714" i="4" s="1"/>
  <c r="Q693" i="4"/>
  <c r="T695" i="4"/>
  <c r="U691" i="4"/>
  <c r="S534" i="4"/>
  <c r="M163" i="4"/>
  <c r="P163" i="4" s="1"/>
  <c r="I138" i="4"/>
  <c r="K138" i="4" s="1"/>
  <c r="K153" i="4"/>
  <c r="N61" i="4"/>
  <c r="N59" i="4" s="1"/>
  <c r="N62" i="4"/>
  <c r="O62" i="4" s="1"/>
  <c r="P64" i="4"/>
  <c r="K726" i="3"/>
  <c r="K440" i="3"/>
  <c r="K772" i="4"/>
  <c r="Q599" i="4"/>
  <c r="T599" i="4" s="1"/>
  <c r="T600" i="4"/>
  <c r="T334" i="4"/>
  <c r="Q333" i="4"/>
  <c r="T333" i="4" s="1"/>
  <c r="R268" i="4"/>
  <c r="R266" i="4" s="1"/>
  <c r="R269" i="4"/>
  <c r="L141" i="4"/>
  <c r="L139" i="4" s="1"/>
  <c r="L142" i="4"/>
  <c r="K108" i="4"/>
  <c r="I92" i="4"/>
  <c r="K92" i="4" s="1"/>
  <c r="O102" i="4"/>
  <c r="L100" i="4"/>
  <c r="O100" i="4" s="1"/>
  <c r="Q731" i="4"/>
  <c r="T731" i="4" s="1"/>
  <c r="S644" i="4"/>
  <c r="S642" i="4" s="1"/>
  <c r="S645" i="4"/>
  <c r="M642" i="4"/>
  <c r="P642" i="4" s="1"/>
  <c r="P643" i="4"/>
  <c r="L576" i="4"/>
  <c r="O576" i="4" s="1"/>
  <c r="O577" i="4"/>
  <c r="L555" i="4"/>
  <c r="O555" i="4" s="1"/>
  <c r="O556" i="4"/>
  <c r="S495" i="4"/>
  <c r="S493" i="4" s="1"/>
  <c r="S496" i="4"/>
  <c r="U304" i="4"/>
  <c r="R303" i="4"/>
  <c r="L236" i="2"/>
  <c r="K108" i="3"/>
  <c r="K780" i="4"/>
  <c r="M728" i="4"/>
  <c r="P728" i="4" s="1"/>
  <c r="K726" i="4"/>
  <c r="U695" i="4"/>
  <c r="N690" i="4"/>
  <c r="L284" i="4"/>
  <c r="O284" i="4" s="1"/>
  <c r="L285" i="4"/>
  <c r="O285" i="4" s="1"/>
  <c r="O287" i="4"/>
  <c r="L222" i="4"/>
  <c r="O222" i="4" s="1"/>
  <c r="N714" i="4"/>
  <c r="K705" i="4"/>
  <c r="R692" i="4"/>
  <c r="R690" i="4" s="1"/>
  <c r="U690" i="4" s="1"/>
  <c r="R642" i="4"/>
  <c r="U642" i="4" s="1"/>
  <c r="L642" i="4"/>
  <c r="O642" i="4" s="1"/>
  <c r="S618" i="4"/>
  <c r="N599" i="4"/>
  <c r="R555" i="4"/>
  <c r="U555" i="4" s="1"/>
  <c r="P518" i="4"/>
  <c r="U514" i="4"/>
  <c r="Q495" i="4"/>
  <c r="T495" i="4" s="1"/>
  <c r="J457" i="4"/>
  <c r="J456" i="4" s="1"/>
  <c r="P361" i="4"/>
  <c r="S356" i="4"/>
  <c r="J343" i="4"/>
  <c r="U308" i="4"/>
  <c r="O308" i="4"/>
  <c r="M306" i="4"/>
  <c r="P306" i="4" s="1"/>
  <c r="I195" i="4"/>
  <c r="K195" i="4" s="1"/>
  <c r="L163" i="4"/>
  <c r="O163" i="4" s="1"/>
  <c r="K137" i="4"/>
  <c r="Q142" i="4"/>
  <c r="T142" i="4" s="1"/>
  <c r="P125" i="4"/>
  <c r="O80" i="4"/>
  <c r="P77" i="4"/>
  <c r="N75" i="4"/>
  <c r="S72" i="4"/>
  <c r="S59" i="4"/>
  <c r="Q19" i="4"/>
  <c r="T19" i="4" s="1"/>
  <c r="S616" i="4"/>
  <c r="M576" i="4"/>
  <c r="P576" i="4" s="1"/>
  <c r="O338" i="4"/>
  <c r="T308" i="4"/>
  <c r="L306" i="4"/>
  <c r="O306" i="4" s="1"/>
  <c r="N268" i="4"/>
  <c r="N266" i="4" s="1"/>
  <c r="J231" i="4"/>
  <c r="J185" i="4" s="1"/>
  <c r="L203" i="4"/>
  <c r="O203" i="4" s="1"/>
  <c r="N119" i="4"/>
  <c r="N117" i="4" s="1"/>
  <c r="R72" i="4"/>
  <c r="U72" i="4" s="1"/>
  <c r="L61" i="4"/>
  <c r="L59" i="4" s="1"/>
  <c r="R59" i="4"/>
  <c r="U59" i="4" s="1"/>
  <c r="Q44" i="4"/>
  <c r="T44" i="4" s="1"/>
  <c r="N19" i="4"/>
  <c r="L599" i="4"/>
  <c r="O599" i="4" s="1"/>
  <c r="N555" i="4"/>
  <c r="K386" i="4"/>
  <c r="I374" i="4"/>
  <c r="N335" i="4"/>
  <c r="Q320" i="4"/>
  <c r="T320" i="4" s="1"/>
  <c r="S306" i="4"/>
  <c r="L235" i="4"/>
  <c r="N175" i="4"/>
  <c r="N173" i="4" s="1"/>
  <c r="K169" i="4"/>
  <c r="L123" i="4"/>
  <c r="O123" i="4" s="1"/>
  <c r="M119" i="4"/>
  <c r="M117" i="4" s="1"/>
  <c r="P117" i="4" s="1"/>
  <c r="S120" i="4"/>
  <c r="L534" i="4"/>
  <c r="O534" i="4" s="1"/>
  <c r="S413" i="4"/>
  <c r="R306" i="4"/>
  <c r="N284" i="4"/>
  <c r="N282" i="4" s="1"/>
  <c r="L254" i="4"/>
  <c r="O254" i="4" s="1"/>
  <c r="K221" i="4"/>
  <c r="N192" i="4"/>
  <c r="L119" i="4"/>
  <c r="O119" i="4" s="1"/>
  <c r="N96" i="4"/>
  <c r="N94" i="4" s="1"/>
  <c r="M74" i="4"/>
  <c r="P74" i="4" s="1"/>
  <c r="S75" i="4"/>
  <c r="J701" i="4"/>
  <c r="T619" i="4"/>
  <c r="P617" i="4"/>
  <c r="L515" i="4"/>
  <c r="O515" i="4" s="1"/>
  <c r="S416" i="4"/>
  <c r="O328" i="4"/>
  <c r="Q306" i="4"/>
  <c r="S303" i="4"/>
  <c r="T303" i="4" s="1"/>
  <c r="L268" i="4"/>
  <c r="O268" i="4" s="1"/>
  <c r="T187" i="4"/>
  <c r="O178" i="4"/>
  <c r="N159" i="4"/>
  <c r="N157" i="4" s="1"/>
  <c r="U144" i="4"/>
  <c r="M141" i="4"/>
  <c r="M139" i="4" s="1"/>
  <c r="U119" i="4"/>
  <c r="N120" i="4"/>
  <c r="M96" i="4"/>
  <c r="M94" i="4" s="1"/>
  <c r="P94" i="4" s="1"/>
  <c r="I83" i="4"/>
  <c r="K83" i="4" s="1"/>
  <c r="L74" i="4"/>
  <c r="L72" i="4" s="1"/>
  <c r="O72" i="4" s="1"/>
  <c r="R75" i="4"/>
  <c r="U75" i="4" s="1"/>
  <c r="O64" i="4"/>
  <c r="N46" i="4"/>
  <c r="N44" i="4" s="1"/>
  <c r="O47" i="4"/>
  <c r="T692" i="4"/>
  <c r="R760" i="4"/>
  <c r="U762" i="4"/>
  <c r="Q728" i="4"/>
  <c r="T762" i="4"/>
  <c r="M558" i="1"/>
  <c r="P558" i="1" s="1"/>
  <c r="K365" i="4"/>
  <c r="K632" i="4"/>
  <c r="Q513" i="4"/>
  <c r="T513" i="4" s="1"/>
  <c r="K371" i="4"/>
  <c r="U621" i="2"/>
  <c r="J351" i="2"/>
  <c r="K346" i="2"/>
  <c r="N335" i="2"/>
  <c r="N333" i="2" s="1"/>
  <c r="R269" i="2"/>
  <c r="K632" i="3"/>
  <c r="K368" i="3"/>
  <c r="P336" i="3"/>
  <c r="N268" i="3"/>
  <c r="N266" i="3" s="1"/>
  <c r="L235" i="3"/>
  <c r="N142" i="3"/>
  <c r="O142" i="3" s="1"/>
  <c r="L96" i="3"/>
  <c r="O96" i="3" s="1"/>
  <c r="Q72" i="3"/>
  <c r="K703" i="4"/>
  <c r="Q555" i="4"/>
  <c r="T555" i="4" s="1"/>
  <c r="O495" i="4"/>
  <c r="L493" i="4"/>
  <c r="O493" i="4" s="1"/>
  <c r="M413" i="4"/>
  <c r="P413" i="4" s="1"/>
  <c r="P414" i="4"/>
  <c r="M359" i="4"/>
  <c r="P359" i="4" s="1"/>
  <c r="U305" i="4"/>
  <c r="P194" i="4"/>
  <c r="M192" i="4"/>
  <c r="P192" i="4" s="1"/>
  <c r="M188" i="4"/>
  <c r="M186" i="4" s="1"/>
  <c r="U77" i="3"/>
  <c r="K457" i="4"/>
  <c r="I456" i="4"/>
  <c r="K456" i="4" s="1"/>
  <c r="S269" i="4"/>
  <c r="U271" i="4"/>
  <c r="S268" i="4"/>
  <c r="S266" i="4" s="1"/>
  <c r="T266" i="4" s="1"/>
  <c r="O194" i="4"/>
  <c r="L192" i="4"/>
  <c r="O192" i="4" s="1"/>
  <c r="S731" i="2"/>
  <c r="O274" i="2"/>
  <c r="O62" i="2"/>
  <c r="Q644" i="3"/>
  <c r="T644" i="3" s="1"/>
  <c r="K630" i="3"/>
  <c r="Q496" i="3"/>
  <c r="T496" i="3" s="1"/>
  <c r="O308" i="3"/>
  <c r="K276" i="3"/>
  <c r="M176" i="3"/>
  <c r="P176" i="3" s="1"/>
  <c r="I82" i="3"/>
  <c r="K82" i="3" s="1"/>
  <c r="P75" i="3"/>
  <c r="S730" i="4"/>
  <c r="S728" i="4" s="1"/>
  <c r="Q690" i="4"/>
  <c r="T690" i="4" s="1"/>
  <c r="K631" i="4"/>
  <c r="T617" i="4"/>
  <c r="L616" i="4"/>
  <c r="O616" i="4" s="1"/>
  <c r="T578" i="4"/>
  <c r="R534" i="4"/>
  <c r="U534" i="4" s="1"/>
  <c r="J503" i="4"/>
  <c r="J492" i="4" s="1"/>
  <c r="L413" i="4"/>
  <c r="O413" i="4" s="1"/>
  <c r="O414" i="4"/>
  <c r="O361" i="4"/>
  <c r="L358" i="4"/>
  <c r="L359" i="4"/>
  <c r="O359" i="4" s="1"/>
  <c r="K292" i="4"/>
  <c r="I281" i="4"/>
  <c r="K281" i="4" s="1"/>
  <c r="U267" i="4"/>
  <c r="M179" i="4"/>
  <c r="P179" i="4" s="1"/>
  <c r="M175" i="4"/>
  <c r="T122" i="4"/>
  <c r="Q120" i="4"/>
  <c r="Q119" i="4"/>
  <c r="T119" i="4" s="1"/>
  <c r="P73" i="4"/>
  <c r="O19" i="4"/>
  <c r="N516" i="1"/>
  <c r="I615" i="4"/>
  <c r="K615" i="4" s="1"/>
  <c r="R416" i="4"/>
  <c r="U416" i="4" s="1"/>
  <c r="R415" i="4"/>
  <c r="U415" i="4" s="1"/>
  <c r="U418" i="4"/>
  <c r="P325" i="4"/>
  <c r="M323" i="4"/>
  <c r="P323" i="4" s="1"/>
  <c r="M322" i="4"/>
  <c r="P322" i="4" s="1"/>
  <c r="O283" i="4"/>
  <c r="P271" i="4"/>
  <c r="M269" i="4"/>
  <c r="P269" i="4" s="1"/>
  <c r="M268" i="4"/>
  <c r="Q415" i="4"/>
  <c r="T418" i="4"/>
  <c r="S618" i="2"/>
  <c r="S616" i="2" s="1"/>
  <c r="O521" i="2"/>
  <c r="P191" i="2"/>
  <c r="O125" i="2"/>
  <c r="S415" i="3"/>
  <c r="S413" i="3" s="1"/>
  <c r="N285" i="3"/>
  <c r="T266" i="3"/>
  <c r="N61" i="3"/>
  <c r="N59" i="3" s="1"/>
  <c r="I759" i="4"/>
  <c r="K759" i="4" s="1"/>
  <c r="U733" i="4"/>
  <c r="P729" i="4"/>
  <c r="P715" i="4"/>
  <c r="K707" i="4"/>
  <c r="K630" i="4"/>
  <c r="K626" i="4"/>
  <c r="P600" i="4"/>
  <c r="U556" i="4"/>
  <c r="M555" i="4"/>
  <c r="P555" i="4" s="1"/>
  <c r="T536" i="4"/>
  <c r="P521" i="4"/>
  <c r="M519" i="4"/>
  <c r="P519" i="4" s="1"/>
  <c r="M493" i="4"/>
  <c r="P493" i="4" s="1"/>
  <c r="I492" i="4"/>
  <c r="K492" i="4" s="1"/>
  <c r="T394" i="4"/>
  <c r="Q392" i="4"/>
  <c r="T392" i="4" s="1"/>
  <c r="M336" i="4"/>
  <c r="P336" i="4" s="1"/>
  <c r="M335" i="4"/>
  <c r="M333" i="4" s="1"/>
  <c r="P338" i="4"/>
  <c r="S189" i="4"/>
  <c r="R139" i="4"/>
  <c r="U139" i="4" s="1"/>
  <c r="U140" i="4"/>
  <c r="S19" i="4"/>
  <c r="T494" i="4"/>
  <c r="R320" i="4"/>
  <c r="U320" i="4" s="1"/>
  <c r="U321" i="4"/>
  <c r="J675" i="2"/>
  <c r="R645" i="3"/>
  <c r="U645" i="3" s="1"/>
  <c r="K346" i="3"/>
  <c r="U308" i="3"/>
  <c r="Q306" i="3"/>
  <c r="T306" i="3" s="1"/>
  <c r="P287" i="3"/>
  <c r="O271" i="3"/>
  <c r="O80" i="3"/>
  <c r="L74" i="3"/>
  <c r="L72" i="3" s="1"/>
  <c r="N46" i="3"/>
  <c r="N44" i="3" s="1"/>
  <c r="U765" i="4"/>
  <c r="T733" i="4"/>
  <c r="O600" i="4"/>
  <c r="M515" i="4"/>
  <c r="U414" i="4"/>
  <c r="M362" i="4"/>
  <c r="P362" i="4" s="1"/>
  <c r="P364" i="4"/>
  <c r="Q356" i="4"/>
  <c r="T356" i="4" s="1"/>
  <c r="T357" i="4"/>
  <c r="K346" i="4"/>
  <c r="R333" i="4"/>
  <c r="U333" i="4" s="1"/>
  <c r="N322" i="4"/>
  <c r="N320" i="4" s="1"/>
  <c r="N323" i="4"/>
  <c r="O321" i="4"/>
  <c r="P283" i="4"/>
  <c r="L188" i="4"/>
  <c r="L186" i="4" s="1"/>
  <c r="N392" i="4"/>
  <c r="U380" i="4"/>
  <c r="P341" i="4"/>
  <c r="R282" i="4"/>
  <c r="U282" i="4" s="1"/>
  <c r="L243" i="4"/>
  <c r="R188" i="4"/>
  <c r="U188" i="4" s="1"/>
  <c r="U191" i="4"/>
  <c r="R189" i="4"/>
  <c r="O181" i="4"/>
  <c r="L179" i="4"/>
  <c r="O179" i="4" s="1"/>
  <c r="T99" i="4"/>
  <c r="Q97" i="4"/>
  <c r="T97" i="4" s="1"/>
  <c r="Q96" i="4"/>
  <c r="T96" i="4" s="1"/>
  <c r="P60" i="4"/>
  <c r="U22" i="4"/>
  <c r="N515" i="4"/>
  <c r="N513" i="4" s="1"/>
  <c r="M375" i="4"/>
  <c r="P375" i="4" s="1"/>
  <c r="P334" i="4"/>
  <c r="I238" i="4"/>
  <c r="K238" i="4" s="1"/>
  <c r="I253" i="4"/>
  <c r="K253" i="4" s="1"/>
  <c r="K260" i="4"/>
  <c r="T188" i="4"/>
  <c r="K183" i="4"/>
  <c r="I172" i="4"/>
  <c r="K172" i="4" s="1"/>
  <c r="N23" i="4"/>
  <c r="L375" i="4"/>
  <c r="O375" i="4" s="1"/>
  <c r="O376" i="4"/>
  <c r="R356" i="4"/>
  <c r="U356" i="4" s="1"/>
  <c r="P304" i="4"/>
  <c r="P274" i="4"/>
  <c r="M272" i="4"/>
  <c r="P272" i="4" s="1"/>
  <c r="P267" i="4"/>
  <c r="I213" i="4"/>
  <c r="K213" i="4" s="1"/>
  <c r="K220" i="4"/>
  <c r="P187" i="4"/>
  <c r="U162" i="4"/>
  <c r="R159" i="4"/>
  <c r="R160" i="4"/>
  <c r="U160" i="4" s="1"/>
  <c r="R24" i="4"/>
  <c r="U24" i="4" s="1"/>
  <c r="U25" i="4"/>
  <c r="R19" i="4"/>
  <c r="Q377" i="4"/>
  <c r="T380" i="4"/>
  <c r="R377" i="4"/>
  <c r="U377" i="4" s="1"/>
  <c r="U376" i="4"/>
  <c r="K369" i="4"/>
  <c r="N358" i="4"/>
  <c r="S333" i="4"/>
  <c r="O325" i="4"/>
  <c r="L322" i="4"/>
  <c r="O322" i="4" s="1"/>
  <c r="O290" i="4"/>
  <c r="L288" i="4"/>
  <c r="O288" i="4" s="1"/>
  <c r="M288" i="4"/>
  <c r="P288" i="4" s="1"/>
  <c r="M284" i="4"/>
  <c r="P284" i="4" s="1"/>
  <c r="O267" i="4"/>
  <c r="M189" i="4"/>
  <c r="P189" i="4" s="1"/>
  <c r="P191" i="4"/>
  <c r="O67" i="4"/>
  <c r="L65" i="4"/>
  <c r="O65" i="4" s="1"/>
  <c r="M176" i="4"/>
  <c r="P176" i="4" s="1"/>
  <c r="Q173" i="4"/>
  <c r="T173" i="4" s="1"/>
  <c r="T162" i="4"/>
  <c r="Q160" i="4"/>
  <c r="T160" i="4" s="1"/>
  <c r="P52" i="4"/>
  <c r="M26" i="4"/>
  <c r="P26" i="4" s="1"/>
  <c r="M50" i="4"/>
  <c r="P50" i="4" s="1"/>
  <c r="M46" i="4"/>
  <c r="M44" i="4" s="1"/>
  <c r="P19" i="4"/>
  <c r="K229" i="4"/>
  <c r="I202" i="4"/>
  <c r="K202" i="4" s="1"/>
  <c r="Q189" i="4"/>
  <c r="S186" i="4"/>
  <c r="L176" i="4"/>
  <c r="O176" i="4" s="1"/>
  <c r="L175" i="4"/>
  <c r="P162" i="4"/>
  <c r="Q159" i="4"/>
  <c r="T159" i="4" s="1"/>
  <c r="K154" i="4"/>
  <c r="N141" i="4"/>
  <c r="P140" i="4"/>
  <c r="R117" i="4"/>
  <c r="U117" i="4" s="1"/>
  <c r="R94" i="4"/>
  <c r="U94" i="4" s="1"/>
  <c r="I82" i="4"/>
  <c r="O52" i="4"/>
  <c r="L26" i="4"/>
  <c r="O26" i="4" s="1"/>
  <c r="L50" i="4"/>
  <c r="O50" i="4" s="1"/>
  <c r="L46" i="4"/>
  <c r="P45" i="4"/>
  <c r="N26" i="4"/>
  <c r="N24" i="4" s="1"/>
  <c r="P25" i="4"/>
  <c r="O191" i="4"/>
  <c r="O144" i="4"/>
  <c r="O140" i="4"/>
  <c r="O25" i="4"/>
  <c r="P22" i="4"/>
  <c r="T191" i="4"/>
  <c r="T178" i="4"/>
  <c r="Q176" i="4"/>
  <c r="T176" i="4" s="1"/>
  <c r="T174" i="4"/>
  <c r="M160" i="4"/>
  <c r="P160" i="4" s="1"/>
  <c r="P144" i="4"/>
  <c r="N142" i="4"/>
  <c r="P142" i="4" s="1"/>
  <c r="P67" i="4"/>
  <c r="M65" i="4"/>
  <c r="P65" i="4" s="1"/>
  <c r="M61" i="4"/>
  <c r="O22" i="4"/>
  <c r="U122" i="4"/>
  <c r="O122" i="4"/>
  <c r="U99" i="4"/>
  <c r="O99" i="4"/>
  <c r="T77" i="4"/>
  <c r="S23" i="4"/>
  <c r="S20" i="4" s="1"/>
  <c r="M23" i="4"/>
  <c r="M21" i="4" s="1"/>
  <c r="K152" i="4"/>
  <c r="K127" i="4"/>
  <c r="R23" i="4"/>
  <c r="R21" i="4" s="1"/>
  <c r="L23" i="4"/>
  <c r="Q23" i="4"/>
  <c r="S160" i="1"/>
  <c r="S46" i="1"/>
  <c r="S44" i="1" s="1"/>
  <c r="T190" i="1"/>
  <c r="Q187" i="1"/>
  <c r="T187" i="1" s="1"/>
  <c r="N176" i="1"/>
  <c r="K150" i="1"/>
  <c r="P178" i="1"/>
  <c r="K780" i="2"/>
  <c r="R763" i="2"/>
  <c r="P287" i="2"/>
  <c r="I265" i="2"/>
  <c r="K265" i="2" s="1"/>
  <c r="L234" i="2"/>
  <c r="T188" i="2"/>
  <c r="M145" i="2"/>
  <c r="P145" i="2" s="1"/>
  <c r="M760" i="3"/>
  <c r="P760" i="3" s="1"/>
  <c r="M728" i="3"/>
  <c r="P728" i="3" s="1"/>
  <c r="O692" i="3"/>
  <c r="J675" i="3"/>
  <c r="U647" i="3"/>
  <c r="S619" i="3"/>
  <c r="U619" i="3" s="1"/>
  <c r="L599" i="3"/>
  <c r="O599" i="3" s="1"/>
  <c r="N534" i="3"/>
  <c r="L519" i="3"/>
  <c r="O519" i="3" s="1"/>
  <c r="L493" i="3"/>
  <c r="O493" i="3" s="1"/>
  <c r="K457" i="3"/>
  <c r="K388" i="3"/>
  <c r="P361" i="3"/>
  <c r="P341" i="3"/>
  <c r="P338" i="3"/>
  <c r="T308" i="3"/>
  <c r="T283" i="3"/>
  <c r="Q269" i="3"/>
  <c r="L234" i="3"/>
  <c r="K202" i="3"/>
  <c r="S157" i="3"/>
  <c r="S117" i="3"/>
  <c r="L97" i="3"/>
  <c r="O97" i="3" s="1"/>
  <c r="K86" i="3"/>
  <c r="T77" i="3"/>
  <c r="Q75" i="3"/>
  <c r="N62" i="3"/>
  <c r="P62" i="3" s="1"/>
  <c r="N47" i="3"/>
  <c r="Q19" i="3"/>
  <c r="T19" i="3" s="1"/>
  <c r="Q305" i="2"/>
  <c r="Q303" i="2" s="1"/>
  <c r="T303" i="2" s="1"/>
  <c r="O67" i="2"/>
  <c r="M714" i="3"/>
  <c r="P714" i="3" s="1"/>
  <c r="R599" i="3"/>
  <c r="U599" i="3" s="1"/>
  <c r="L576" i="3"/>
  <c r="O576" i="3" s="1"/>
  <c r="R495" i="3"/>
  <c r="R493" i="3" s="1"/>
  <c r="M493" i="3"/>
  <c r="P493" i="3" s="1"/>
  <c r="J374" i="3"/>
  <c r="M358" i="3"/>
  <c r="M356" i="3" s="1"/>
  <c r="R356" i="3"/>
  <c r="U356" i="3" s="1"/>
  <c r="P325" i="3"/>
  <c r="N322" i="3"/>
  <c r="N320" i="3" s="1"/>
  <c r="R306" i="3"/>
  <c r="U306" i="3" s="1"/>
  <c r="L222" i="3"/>
  <c r="O222" i="3" s="1"/>
  <c r="I221" i="3"/>
  <c r="K221" i="3" s="1"/>
  <c r="T188" i="3"/>
  <c r="M179" i="3"/>
  <c r="P179" i="3" s="1"/>
  <c r="I138" i="3"/>
  <c r="K138" i="3" s="1"/>
  <c r="I116" i="3"/>
  <c r="K116" i="3" s="1"/>
  <c r="M96" i="3"/>
  <c r="P96" i="3" s="1"/>
  <c r="P49" i="3"/>
  <c r="S377" i="2"/>
  <c r="T377" i="2" s="1"/>
  <c r="K369" i="2"/>
  <c r="L214" i="2"/>
  <c r="O214" i="2" s="1"/>
  <c r="S189" i="2"/>
  <c r="K774" i="3"/>
  <c r="Q763" i="3"/>
  <c r="T763" i="3" s="1"/>
  <c r="O762" i="3"/>
  <c r="M690" i="3"/>
  <c r="P690" i="3" s="1"/>
  <c r="L642" i="3"/>
  <c r="O642" i="3" s="1"/>
  <c r="K631" i="3"/>
  <c r="J626" i="3"/>
  <c r="J615" i="3" s="1"/>
  <c r="U621" i="3"/>
  <c r="T601" i="3"/>
  <c r="R576" i="3"/>
  <c r="U576" i="3" s="1"/>
  <c r="T556" i="3"/>
  <c r="L534" i="3"/>
  <c r="O534" i="3" s="1"/>
  <c r="O364" i="3"/>
  <c r="O323" i="3"/>
  <c r="O287" i="3"/>
  <c r="O191" i="3"/>
  <c r="S175" i="3"/>
  <c r="S173" i="3" s="1"/>
  <c r="I169" i="3"/>
  <c r="K169" i="3" s="1"/>
  <c r="O165" i="3"/>
  <c r="O125" i="3"/>
  <c r="O99" i="3"/>
  <c r="O75" i="3"/>
  <c r="Q24" i="3"/>
  <c r="T24" i="3" s="1"/>
  <c r="M214" i="1"/>
  <c r="Q415" i="2"/>
  <c r="T415" i="2" s="1"/>
  <c r="R377" i="2"/>
  <c r="U377" i="2" s="1"/>
  <c r="L326" i="2"/>
  <c r="O326" i="2" s="1"/>
  <c r="U715" i="3"/>
  <c r="U692" i="3"/>
  <c r="O600" i="3"/>
  <c r="M599" i="3"/>
  <c r="P599" i="3" s="1"/>
  <c r="M576" i="3"/>
  <c r="P576" i="3" s="1"/>
  <c r="P518" i="3"/>
  <c r="U418" i="3"/>
  <c r="N392" i="3"/>
  <c r="M362" i="3"/>
  <c r="P362" i="3" s="1"/>
  <c r="Q356" i="3"/>
  <c r="T356" i="3" s="1"/>
  <c r="P357" i="3"/>
  <c r="P323" i="3"/>
  <c r="R320" i="3"/>
  <c r="U320" i="3" s="1"/>
  <c r="P311" i="3"/>
  <c r="N306" i="3"/>
  <c r="L254" i="3"/>
  <c r="O254" i="3" s="1"/>
  <c r="I238" i="3"/>
  <c r="K238" i="3" s="1"/>
  <c r="N232" i="3"/>
  <c r="N188" i="3"/>
  <c r="N186" i="3" s="1"/>
  <c r="L175" i="3"/>
  <c r="O175" i="3" s="1"/>
  <c r="I168" i="3"/>
  <c r="K168" i="3" s="1"/>
  <c r="T162" i="3"/>
  <c r="O147" i="3"/>
  <c r="S142" i="3"/>
  <c r="T122" i="3"/>
  <c r="O102" i="3"/>
  <c r="T74" i="3"/>
  <c r="R59" i="3"/>
  <c r="U59" i="3" s="1"/>
  <c r="R44" i="3"/>
  <c r="U44" i="3" s="1"/>
  <c r="S19" i="3"/>
  <c r="T22" i="3"/>
  <c r="S618" i="1"/>
  <c r="K782" i="1"/>
  <c r="L222" i="2"/>
  <c r="O222" i="2" s="1"/>
  <c r="S731" i="3"/>
  <c r="T731" i="3" s="1"/>
  <c r="L714" i="3"/>
  <c r="O714" i="3" s="1"/>
  <c r="Q692" i="3"/>
  <c r="T692" i="3" s="1"/>
  <c r="N690" i="3"/>
  <c r="J674" i="3"/>
  <c r="S644" i="3"/>
  <c r="S642" i="3" s="1"/>
  <c r="K629" i="3"/>
  <c r="R618" i="3"/>
  <c r="U618" i="3" s="1"/>
  <c r="L616" i="3"/>
  <c r="O616" i="3" s="1"/>
  <c r="R555" i="3"/>
  <c r="U555" i="3" s="1"/>
  <c r="L555" i="3"/>
  <c r="O555" i="3" s="1"/>
  <c r="Q534" i="3"/>
  <c r="T534" i="3" s="1"/>
  <c r="N515" i="3"/>
  <c r="N513" i="3" s="1"/>
  <c r="L516" i="3"/>
  <c r="O516" i="3" s="1"/>
  <c r="R513" i="3"/>
  <c r="U513" i="3" s="1"/>
  <c r="J503" i="3"/>
  <c r="J492" i="3" s="1"/>
  <c r="K492" i="3" s="1"/>
  <c r="U498" i="3"/>
  <c r="M392" i="3"/>
  <c r="P392" i="3" s="1"/>
  <c r="N375" i="3"/>
  <c r="O338" i="3"/>
  <c r="N335" i="3"/>
  <c r="N333" i="3" s="1"/>
  <c r="O328" i="3"/>
  <c r="O325" i="3"/>
  <c r="Q320" i="3"/>
  <c r="T320" i="3" s="1"/>
  <c r="L309" i="3"/>
  <c r="O309" i="3" s="1"/>
  <c r="P308" i="3"/>
  <c r="L306" i="3"/>
  <c r="O306" i="3" s="1"/>
  <c r="M272" i="3"/>
  <c r="P272" i="3" s="1"/>
  <c r="P269" i="3"/>
  <c r="L268" i="3"/>
  <c r="O268" i="3" s="1"/>
  <c r="L236" i="3"/>
  <c r="J231" i="3"/>
  <c r="J185" i="3" s="1"/>
  <c r="T191" i="3"/>
  <c r="M188" i="3"/>
  <c r="M186" i="3" s="1"/>
  <c r="Q189" i="3"/>
  <c r="K167" i="3"/>
  <c r="Q159" i="3"/>
  <c r="T159" i="3" s="1"/>
  <c r="L141" i="3"/>
  <c r="L139" i="3" s="1"/>
  <c r="I136" i="3"/>
  <c r="K136" i="3" s="1"/>
  <c r="Q119" i="3"/>
  <c r="T119" i="3" s="1"/>
  <c r="R97" i="3"/>
  <c r="P80" i="3"/>
  <c r="O77" i="3"/>
  <c r="T733" i="3"/>
  <c r="U617" i="3"/>
  <c r="O617" i="3"/>
  <c r="U577" i="3"/>
  <c r="P25" i="3"/>
  <c r="R159" i="1"/>
  <c r="U159" i="1" s="1"/>
  <c r="J702" i="1"/>
  <c r="L729" i="1"/>
  <c r="O729" i="1" s="1"/>
  <c r="I238" i="2"/>
  <c r="K238" i="2" s="1"/>
  <c r="I242" i="2"/>
  <c r="K242" i="2" s="1"/>
  <c r="K249" i="2"/>
  <c r="S175" i="2"/>
  <c r="S173" i="2" s="1"/>
  <c r="S176" i="2"/>
  <c r="I136" i="2"/>
  <c r="K136" i="2" s="1"/>
  <c r="K154" i="2"/>
  <c r="L74" i="2"/>
  <c r="O74" i="2" s="1"/>
  <c r="R762" i="3"/>
  <c r="T716" i="3"/>
  <c r="J702" i="3"/>
  <c r="K615" i="3"/>
  <c r="Q618" i="3"/>
  <c r="T618" i="3" s="1"/>
  <c r="O376" i="3"/>
  <c r="L375" i="3"/>
  <c r="O375" i="3" s="1"/>
  <c r="K330" i="3"/>
  <c r="I319" i="3"/>
  <c r="K319" i="3" s="1"/>
  <c r="P304" i="3"/>
  <c r="P45" i="3"/>
  <c r="N419" i="1"/>
  <c r="S693" i="2"/>
  <c r="T693" i="2" s="1"/>
  <c r="R416" i="2"/>
  <c r="U416" i="2" s="1"/>
  <c r="U418" i="2"/>
  <c r="L339" i="2"/>
  <c r="O339" i="2" s="1"/>
  <c r="I758" i="3"/>
  <c r="K758" i="3" s="1"/>
  <c r="K772" i="3"/>
  <c r="Q730" i="3"/>
  <c r="N576" i="3"/>
  <c r="T514" i="3"/>
  <c r="M309" i="2"/>
  <c r="P309" i="2" s="1"/>
  <c r="P311" i="2"/>
  <c r="U765" i="3"/>
  <c r="S693" i="3"/>
  <c r="T695" i="3"/>
  <c r="T621" i="3"/>
  <c r="U600" i="3"/>
  <c r="N599" i="3"/>
  <c r="T536" i="3"/>
  <c r="O535" i="3"/>
  <c r="U496" i="3"/>
  <c r="I412" i="3"/>
  <c r="K412" i="3" s="1"/>
  <c r="K371" i="3"/>
  <c r="I365" i="3"/>
  <c r="K365" i="3" s="1"/>
  <c r="O290" i="3"/>
  <c r="L23" i="3"/>
  <c r="L21" i="3" s="1"/>
  <c r="U767" i="1"/>
  <c r="R766" i="1"/>
  <c r="U766" i="1" s="1"/>
  <c r="I253" i="2"/>
  <c r="K253" i="2" s="1"/>
  <c r="K260" i="2"/>
  <c r="I213" i="2"/>
  <c r="K213" i="2" s="1"/>
  <c r="K220" i="2"/>
  <c r="K220" i="1"/>
  <c r="J477" i="1"/>
  <c r="I374" i="2"/>
  <c r="O308" i="2"/>
  <c r="P162" i="2"/>
  <c r="M159" i="2"/>
  <c r="P159" i="2" s="1"/>
  <c r="M160" i="2"/>
  <c r="P160" i="2" s="1"/>
  <c r="T144" i="2"/>
  <c r="Q141" i="2"/>
  <c r="T141" i="2" s="1"/>
  <c r="U763" i="3"/>
  <c r="I701" i="3"/>
  <c r="R690" i="3"/>
  <c r="U690" i="3" s="1"/>
  <c r="R642" i="3"/>
  <c r="U642" i="3" s="1"/>
  <c r="U535" i="3"/>
  <c r="P521" i="3"/>
  <c r="R413" i="3"/>
  <c r="U413" i="3" s="1"/>
  <c r="U415" i="3"/>
  <c r="U393" i="3"/>
  <c r="R392" i="3"/>
  <c r="U392" i="3" s="1"/>
  <c r="M375" i="3"/>
  <c r="P375" i="3" s="1"/>
  <c r="P377" i="3"/>
  <c r="O361" i="3"/>
  <c r="L359" i="3"/>
  <c r="L358" i="3"/>
  <c r="P328" i="3"/>
  <c r="T268" i="3"/>
  <c r="L243" i="3"/>
  <c r="L233" i="3"/>
  <c r="O321" i="3"/>
  <c r="I195" i="2"/>
  <c r="K195" i="2" s="1"/>
  <c r="K198" i="2"/>
  <c r="M515" i="3"/>
  <c r="Q415" i="3"/>
  <c r="T415" i="3" s="1"/>
  <c r="Q416" i="3"/>
  <c r="T416" i="3" s="1"/>
  <c r="L413" i="3"/>
  <c r="O413" i="3" s="1"/>
  <c r="R333" i="3"/>
  <c r="U333" i="3" s="1"/>
  <c r="U334" i="3"/>
  <c r="K292" i="3"/>
  <c r="I281" i="3"/>
  <c r="K281" i="3" s="1"/>
  <c r="L284" i="3"/>
  <c r="R19" i="3"/>
  <c r="L19" i="3"/>
  <c r="K779" i="2"/>
  <c r="Q731" i="2"/>
  <c r="R644" i="2"/>
  <c r="U644" i="2" s="1"/>
  <c r="L362" i="2"/>
  <c r="O362" i="2" s="1"/>
  <c r="J343" i="2"/>
  <c r="M284" i="2"/>
  <c r="P284" i="2" s="1"/>
  <c r="N516" i="3"/>
  <c r="L515" i="3"/>
  <c r="R416" i="3"/>
  <c r="U416" i="3" s="1"/>
  <c r="M413" i="3"/>
  <c r="P413" i="3" s="1"/>
  <c r="Q378" i="3"/>
  <c r="T378" i="3" s="1"/>
  <c r="Q377" i="3"/>
  <c r="Q375" i="3" s="1"/>
  <c r="T380" i="3"/>
  <c r="N359" i="3"/>
  <c r="P359" i="3" s="1"/>
  <c r="N358" i="3"/>
  <c r="N356" i="3" s="1"/>
  <c r="Q333" i="3"/>
  <c r="T333" i="3" s="1"/>
  <c r="M322" i="3"/>
  <c r="R282" i="3"/>
  <c r="U282" i="3" s="1"/>
  <c r="R189" i="3"/>
  <c r="R188" i="3"/>
  <c r="U188" i="3" s="1"/>
  <c r="K87" i="3"/>
  <c r="I83" i="3"/>
  <c r="L61" i="3"/>
  <c r="L62" i="3"/>
  <c r="L26" i="3"/>
  <c r="O26" i="3" s="1"/>
  <c r="K784" i="2"/>
  <c r="U765" i="2"/>
  <c r="T733" i="2"/>
  <c r="R645" i="2"/>
  <c r="U645" i="2" s="1"/>
  <c r="K368" i="2"/>
  <c r="O181" i="2"/>
  <c r="T178" i="2"/>
  <c r="U122" i="2"/>
  <c r="R117" i="2"/>
  <c r="T99" i="2"/>
  <c r="Q97" i="2"/>
  <c r="T97" i="2" s="1"/>
  <c r="R75" i="2"/>
  <c r="U75" i="2" s="1"/>
  <c r="S762" i="3"/>
  <c r="S760" i="3" s="1"/>
  <c r="T760" i="3" s="1"/>
  <c r="U733" i="3"/>
  <c r="R730" i="3"/>
  <c r="U730" i="3" s="1"/>
  <c r="K626" i="3"/>
  <c r="S495" i="3"/>
  <c r="S493" i="3" s="1"/>
  <c r="T493" i="3" s="1"/>
  <c r="R375" i="3"/>
  <c r="T321" i="3"/>
  <c r="P290" i="3"/>
  <c r="M288" i="3"/>
  <c r="P288" i="3" s="1"/>
  <c r="I280" i="3"/>
  <c r="K280" i="3" s="1"/>
  <c r="P267" i="3"/>
  <c r="P165" i="3"/>
  <c r="M163" i="3"/>
  <c r="P163" i="3" s="1"/>
  <c r="K152" i="3"/>
  <c r="I137" i="3"/>
  <c r="K137" i="3" s="1"/>
  <c r="P147" i="3"/>
  <c r="K92" i="3"/>
  <c r="K709" i="2"/>
  <c r="U695" i="2"/>
  <c r="L243" i="2"/>
  <c r="T765" i="3"/>
  <c r="U695" i="3"/>
  <c r="T498" i="3"/>
  <c r="U380" i="3"/>
  <c r="J343" i="3"/>
  <c r="O336" i="3"/>
  <c r="Q303" i="3"/>
  <c r="T271" i="3"/>
  <c r="U267" i="3"/>
  <c r="U191" i="3"/>
  <c r="U73" i="3"/>
  <c r="O64" i="3"/>
  <c r="N26" i="3"/>
  <c r="N24" i="3" s="1"/>
  <c r="J701" i="2"/>
  <c r="I172" i="2"/>
  <c r="K172" i="2" s="1"/>
  <c r="L392" i="3"/>
  <c r="O392" i="3" s="1"/>
  <c r="S377" i="3"/>
  <c r="S375" i="3" s="1"/>
  <c r="I332" i="3"/>
  <c r="K344" i="3"/>
  <c r="O341" i="3"/>
  <c r="L339" i="3"/>
  <c r="O339" i="3" s="1"/>
  <c r="P125" i="3"/>
  <c r="M123" i="3"/>
  <c r="P123" i="3" s="1"/>
  <c r="M335" i="3"/>
  <c r="L322" i="3"/>
  <c r="M268" i="3"/>
  <c r="L188" i="3"/>
  <c r="U174" i="3"/>
  <c r="N159" i="3"/>
  <c r="N157" i="3" s="1"/>
  <c r="N119" i="3"/>
  <c r="N117" i="3" s="1"/>
  <c r="Q23" i="3"/>
  <c r="L335" i="3"/>
  <c r="S305" i="3"/>
  <c r="T305" i="3" s="1"/>
  <c r="M305" i="3"/>
  <c r="P305" i="3" s="1"/>
  <c r="M284" i="3"/>
  <c r="P284" i="3" s="1"/>
  <c r="R268" i="3"/>
  <c r="U268" i="3" s="1"/>
  <c r="L214" i="3"/>
  <c r="O214" i="3" s="1"/>
  <c r="T203" i="3"/>
  <c r="O189" i="3"/>
  <c r="U162" i="3"/>
  <c r="M159" i="3"/>
  <c r="T144" i="3"/>
  <c r="Q141" i="3"/>
  <c r="Q142" i="3"/>
  <c r="T142" i="3" s="1"/>
  <c r="U122" i="3"/>
  <c r="P99" i="3"/>
  <c r="M26" i="3"/>
  <c r="P26" i="3" s="1"/>
  <c r="M50" i="3"/>
  <c r="P50" i="3" s="1"/>
  <c r="M46" i="3"/>
  <c r="S24" i="3"/>
  <c r="M19" i="3"/>
  <c r="P271" i="3"/>
  <c r="O194" i="3"/>
  <c r="Q186" i="3"/>
  <c r="T186" i="3" s="1"/>
  <c r="O178" i="3"/>
  <c r="O174" i="3"/>
  <c r="K156" i="3"/>
  <c r="I93" i="3"/>
  <c r="K93" i="3" s="1"/>
  <c r="K109" i="3"/>
  <c r="O95" i="3"/>
  <c r="U46" i="3"/>
  <c r="T45" i="3"/>
  <c r="N179" i="3"/>
  <c r="N175" i="3"/>
  <c r="N173" i="3" s="1"/>
  <c r="R159" i="3"/>
  <c r="U159" i="3" s="1"/>
  <c r="R119" i="3"/>
  <c r="U119" i="3" s="1"/>
  <c r="S97" i="3"/>
  <c r="S96" i="3"/>
  <c r="U96" i="3" s="1"/>
  <c r="U99" i="3"/>
  <c r="R74" i="3"/>
  <c r="U74" i="3" s="1"/>
  <c r="R23" i="3"/>
  <c r="R75" i="3"/>
  <c r="K249" i="3"/>
  <c r="I242" i="3"/>
  <c r="M192" i="3"/>
  <c r="P192" i="3" s="1"/>
  <c r="S189" i="3"/>
  <c r="M189" i="3"/>
  <c r="P189" i="3" s="1"/>
  <c r="U187" i="3"/>
  <c r="U178" i="3"/>
  <c r="R175" i="3"/>
  <c r="U175" i="3" s="1"/>
  <c r="P158" i="3"/>
  <c r="P144" i="3"/>
  <c r="M141" i="3"/>
  <c r="M119" i="3"/>
  <c r="P119" i="3" s="1"/>
  <c r="P118" i="3"/>
  <c r="N74" i="3"/>
  <c r="N72" i="3" s="1"/>
  <c r="P67" i="3"/>
  <c r="U61" i="3"/>
  <c r="L50" i="3"/>
  <c r="O50" i="3" s="1"/>
  <c r="M47" i="3"/>
  <c r="M23" i="3"/>
  <c r="S44" i="3"/>
  <c r="T26" i="3"/>
  <c r="P191" i="3"/>
  <c r="T187" i="3"/>
  <c r="O181" i="3"/>
  <c r="T178" i="3"/>
  <c r="Q175" i="3"/>
  <c r="T175" i="3" s="1"/>
  <c r="O162" i="3"/>
  <c r="L159" i="3"/>
  <c r="O144" i="3"/>
  <c r="P140" i="3"/>
  <c r="O122" i="3"/>
  <c r="L119" i="3"/>
  <c r="O119" i="3" s="1"/>
  <c r="P102" i="3"/>
  <c r="T99" i="3"/>
  <c r="Q96" i="3"/>
  <c r="Q94" i="3" s="1"/>
  <c r="P77" i="3"/>
  <c r="M74" i="3"/>
  <c r="O67" i="3"/>
  <c r="P64" i="3"/>
  <c r="M61" i="3"/>
  <c r="L47" i="3"/>
  <c r="K260" i="3"/>
  <c r="K220" i="3"/>
  <c r="K198" i="3"/>
  <c r="P162" i="3"/>
  <c r="R24" i="3"/>
  <c r="U24" i="3" s="1"/>
  <c r="N23" i="3"/>
  <c r="M175" i="3"/>
  <c r="M160" i="3"/>
  <c r="P160" i="3" s="1"/>
  <c r="M120" i="3"/>
  <c r="P120" i="3" s="1"/>
  <c r="N96" i="3"/>
  <c r="N94" i="3" s="1"/>
  <c r="S75" i="3"/>
  <c r="S23" i="3"/>
  <c r="S72" i="3"/>
  <c r="S59" i="3"/>
  <c r="O49" i="3"/>
  <c r="L46" i="3"/>
  <c r="S95" i="1"/>
  <c r="L176" i="1"/>
  <c r="K346" i="1"/>
  <c r="M618" i="1"/>
  <c r="P618" i="1" s="1"/>
  <c r="Q762" i="1"/>
  <c r="T762" i="1" s="1"/>
  <c r="K781" i="2"/>
  <c r="K774" i="2"/>
  <c r="T765" i="2"/>
  <c r="R760" i="2"/>
  <c r="L760" i="2"/>
  <c r="O760" i="2" s="1"/>
  <c r="I758" i="2"/>
  <c r="K758" i="2" s="1"/>
  <c r="T695" i="2"/>
  <c r="R693" i="2"/>
  <c r="S642" i="2"/>
  <c r="T577" i="2"/>
  <c r="Q576" i="2"/>
  <c r="T576" i="2" s="1"/>
  <c r="K440" i="2"/>
  <c r="I423" i="2"/>
  <c r="L413" i="2"/>
  <c r="O413" i="2" s="1"/>
  <c r="O414" i="2"/>
  <c r="N141" i="2"/>
  <c r="N139" i="2" s="1"/>
  <c r="N142" i="2"/>
  <c r="Q74" i="2"/>
  <c r="T74" i="2" s="1"/>
  <c r="T77" i="2"/>
  <c r="R192" i="1"/>
  <c r="U192" i="1" s="1"/>
  <c r="J460" i="1"/>
  <c r="T498" i="1"/>
  <c r="S760" i="2"/>
  <c r="R619" i="2"/>
  <c r="U619" i="2" s="1"/>
  <c r="R618" i="2"/>
  <c r="M339" i="2"/>
  <c r="P339" i="2" s="1"/>
  <c r="P341" i="2"/>
  <c r="M305" i="2"/>
  <c r="P305" i="2" s="1"/>
  <c r="M306" i="2"/>
  <c r="P306" i="2" s="1"/>
  <c r="P308" i="2"/>
  <c r="S306" i="2"/>
  <c r="L268" i="2"/>
  <c r="O268" i="2" s="1"/>
  <c r="O271" i="2"/>
  <c r="L269" i="2"/>
  <c r="O269" i="2" s="1"/>
  <c r="Q59" i="2"/>
  <c r="T59" i="2" s="1"/>
  <c r="T60" i="2"/>
  <c r="M119" i="1"/>
  <c r="P119" i="1" s="1"/>
  <c r="S163" i="1"/>
  <c r="R175" i="1"/>
  <c r="U175" i="1" s="1"/>
  <c r="R730" i="2"/>
  <c r="U730" i="2" s="1"/>
  <c r="R731" i="2"/>
  <c r="R19" i="2"/>
  <c r="U22" i="2"/>
  <c r="R174" i="1"/>
  <c r="U174" i="1" s="1"/>
  <c r="K785" i="2"/>
  <c r="P761" i="2"/>
  <c r="Q714" i="2"/>
  <c r="T714" i="2" s="1"/>
  <c r="T716" i="2"/>
  <c r="K631" i="2"/>
  <c r="I615" i="2"/>
  <c r="K615" i="2" s="1"/>
  <c r="K626" i="2"/>
  <c r="K629" i="2"/>
  <c r="L358" i="2"/>
  <c r="L356" i="2" s="1"/>
  <c r="L359" i="2"/>
  <c r="O359" i="2" s="1"/>
  <c r="R176" i="2"/>
  <c r="U176" i="2" s="1"/>
  <c r="U178" i="2"/>
  <c r="T121" i="1"/>
  <c r="O338" i="1"/>
  <c r="Q416" i="1"/>
  <c r="T416" i="1" s="1"/>
  <c r="L731" i="1"/>
  <c r="O731" i="1" s="1"/>
  <c r="L690" i="2"/>
  <c r="O690" i="2" s="1"/>
  <c r="L305" i="2"/>
  <c r="O305" i="2" s="1"/>
  <c r="O311" i="2"/>
  <c r="O73" i="2"/>
  <c r="M62" i="2"/>
  <c r="P62" i="2" s="1"/>
  <c r="P64" i="2"/>
  <c r="S536" i="1"/>
  <c r="O494" i="2"/>
  <c r="L493" i="2"/>
  <c r="O493" i="2" s="1"/>
  <c r="U99" i="1"/>
  <c r="K113" i="1"/>
  <c r="R187" i="1"/>
  <c r="U187" i="1" s="1"/>
  <c r="K229" i="1"/>
  <c r="M304" i="1"/>
  <c r="P304" i="1" s="1"/>
  <c r="L323" i="1"/>
  <c r="L601" i="1"/>
  <c r="O601" i="1" s="1"/>
  <c r="K784" i="1"/>
  <c r="S763" i="2"/>
  <c r="Q762" i="2"/>
  <c r="Q760" i="2" s="1"/>
  <c r="T761" i="2"/>
  <c r="R692" i="2"/>
  <c r="U692" i="2" s="1"/>
  <c r="I689" i="2"/>
  <c r="K689" i="2" s="1"/>
  <c r="K630" i="2"/>
  <c r="Q599" i="2"/>
  <c r="T599" i="2" s="1"/>
  <c r="T600" i="2"/>
  <c r="Q534" i="2"/>
  <c r="T534" i="2" s="1"/>
  <c r="T535" i="2"/>
  <c r="I281" i="2"/>
  <c r="K281" i="2" s="1"/>
  <c r="K292" i="2"/>
  <c r="N159" i="2"/>
  <c r="N157" i="2" s="1"/>
  <c r="K85" i="2"/>
  <c r="I83" i="2"/>
  <c r="I71" i="2" s="1"/>
  <c r="K71" i="2" s="1"/>
  <c r="L50" i="2"/>
  <c r="O50" i="2" s="1"/>
  <c r="O52" i="2"/>
  <c r="S728" i="2"/>
  <c r="M728" i="2"/>
  <c r="P728" i="2" s="1"/>
  <c r="N714" i="2"/>
  <c r="S690" i="2"/>
  <c r="M690" i="2"/>
  <c r="P690" i="2" s="1"/>
  <c r="M616" i="2"/>
  <c r="P616" i="2" s="1"/>
  <c r="S555" i="2"/>
  <c r="L555" i="2"/>
  <c r="O555" i="2" s="1"/>
  <c r="L519" i="2"/>
  <c r="O519" i="2" s="1"/>
  <c r="L515" i="2"/>
  <c r="L513" i="2" s="1"/>
  <c r="Q493" i="2"/>
  <c r="J457" i="2"/>
  <c r="J456" i="2" s="1"/>
  <c r="T418" i="2"/>
  <c r="K386" i="2"/>
  <c r="P328" i="2"/>
  <c r="N326" i="2"/>
  <c r="R306" i="2"/>
  <c r="U306" i="2" s="1"/>
  <c r="S282" i="2"/>
  <c r="N188" i="2"/>
  <c r="N186" i="2" s="1"/>
  <c r="Q175" i="2"/>
  <c r="M163" i="2"/>
  <c r="P163" i="2" s="1"/>
  <c r="K152" i="2"/>
  <c r="O147" i="2"/>
  <c r="T122" i="2"/>
  <c r="M120" i="2"/>
  <c r="P120" i="2" s="1"/>
  <c r="O102" i="2"/>
  <c r="U99" i="2"/>
  <c r="P77" i="2"/>
  <c r="R72" i="2"/>
  <c r="U72" i="2" s="1"/>
  <c r="L61" i="2"/>
  <c r="L59" i="2" s="1"/>
  <c r="P49" i="2"/>
  <c r="L141" i="2"/>
  <c r="L139" i="2" s="1"/>
  <c r="O139" i="2" s="1"/>
  <c r="L119" i="2"/>
  <c r="O119" i="2" s="1"/>
  <c r="I82" i="2"/>
  <c r="K82" i="2" s="1"/>
  <c r="P80" i="2"/>
  <c r="R44" i="2"/>
  <c r="U44" i="2" s="1"/>
  <c r="K457" i="2"/>
  <c r="M413" i="2"/>
  <c r="P413" i="2" s="1"/>
  <c r="S392" i="2"/>
  <c r="Q392" i="2"/>
  <c r="T392" i="2" s="1"/>
  <c r="P361" i="2"/>
  <c r="P359" i="2"/>
  <c r="R333" i="2"/>
  <c r="U333" i="2" s="1"/>
  <c r="I319" i="2"/>
  <c r="K319" i="2" s="1"/>
  <c r="M288" i="2"/>
  <c r="P288" i="2" s="1"/>
  <c r="L254" i="2"/>
  <c r="O254" i="2" s="1"/>
  <c r="J231" i="2"/>
  <c r="J185" i="2" s="1"/>
  <c r="M192" i="2"/>
  <c r="P192" i="2" s="1"/>
  <c r="S119" i="2"/>
  <c r="U119" i="2" s="1"/>
  <c r="L96" i="2"/>
  <c r="O96" i="2" s="1"/>
  <c r="M97" i="2"/>
  <c r="P97" i="2" s="1"/>
  <c r="P47" i="2"/>
  <c r="Q24" i="2"/>
  <c r="T24" i="2" s="1"/>
  <c r="N19" i="2"/>
  <c r="J458" i="2"/>
  <c r="S415" i="2"/>
  <c r="S413" i="2" s="1"/>
  <c r="S333" i="2"/>
  <c r="N320" i="2"/>
  <c r="S303" i="2"/>
  <c r="S186" i="2"/>
  <c r="M189" i="2"/>
  <c r="P189" i="2" s="1"/>
  <c r="L75" i="2"/>
  <c r="O75" i="2" s="1"/>
  <c r="L46" i="2"/>
  <c r="L44" i="2" s="1"/>
  <c r="S714" i="2"/>
  <c r="J702" i="2"/>
  <c r="L516" i="2"/>
  <c r="O516" i="2" s="1"/>
  <c r="R415" i="2"/>
  <c r="U415" i="2" s="1"/>
  <c r="N392" i="2"/>
  <c r="Q378" i="2"/>
  <c r="T378" i="2" s="1"/>
  <c r="K371" i="2"/>
  <c r="L322" i="2"/>
  <c r="O322" i="2" s="1"/>
  <c r="T308" i="2"/>
  <c r="N305" i="2"/>
  <c r="N303" i="2" s="1"/>
  <c r="N284" i="2"/>
  <c r="N282" i="2" s="1"/>
  <c r="T271" i="2"/>
  <c r="L233" i="2"/>
  <c r="O162" i="2"/>
  <c r="S159" i="2"/>
  <c r="S157" i="2" s="1"/>
  <c r="O122" i="2"/>
  <c r="T73" i="2"/>
  <c r="R59" i="2"/>
  <c r="U59" i="2" s="1"/>
  <c r="R24" i="2"/>
  <c r="U24" i="2" s="1"/>
  <c r="L19" i="2"/>
  <c r="O19" i="2" s="1"/>
  <c r="N519" i="1"/>
  <c r="N514" i="1"/>
  <c r="U694" i="1"/>
  <c r="R693" i="1"/>
  <c r="Q728" i="2"/>
  <c r="R599" i="2"/>
  <c r="U599" i="2" s="1"/>
  <c r="U600" i="2"/>
  <c r="T556" i="2"/>
  <c r="Q555" i="2"/>
  <c r="T555" i="2" s="1"/>
  <c r="U338" i="1"/>
  <c r="R335" i="1"/>
  <c r="U335" i="1" s="1"/>
  <c r="N582" i="1"/>
  <c r="O600" i="2"/>
  <c r="L599" i="2"/>
  <c r="O599" i="2" s="1"/>
  <c r="U124" i="1"/>
  <c r="R118" i="1"/>
  <c r="U118" i="1" s="1"/>
  <c r="K726" i="2"/>
  <c r="I701" i="2"/>
  <c r="K703" i="2"/>
  <c r="Q95" i="1"/>
  <c r="T95" i="1" s="1"/>
  <c r="Q515" i="1"/>
  <c r="T515" i="1" s="1"/>
  <c r="T518" i="1"/>
  <c r="O577" i="2"/>
  <c r="L576" i="2"/>
  <c r="O576" i="2" s="1"/>
  <c r="P497" i="1"/>
  <c r="M496" i="1"/>
  <c r="P496" i="1" s="1"/>
  <c r="U762" i="2"/>
  <c r="T730" i="2"/>
  <c r="P715" i="2"/>
  <c r="M714" i="2"/>
  <c r="P714" i="2" s="1"/>
  <c r="Q645" i="2"/>
  <c r="T645" i="2" s="1"/>
  <c r="T647" i="2"/>
  <c r="Q644" i="2"/>
  <c r="T644" i="2" s="1"/>
  <c r="Q619" i="2"/>
  <c r="T619" i="2" s="1"/>
  <c r="T621" i="2"/>
  <c r="Q618" i="2"/>
  <c r="R495" i="2"/>
  <c r="U498" i="2"/>
  <c r="R496" i="2"/>
  <c r="P47" i="1"/>
  <c r="R576" i="2"/>
  <c r="U576" i="2" s="1"/>
  <c r="U577" i="2"/>
  <c r="N516" i="2"/>
  <c r="N515" i="2"/>
  <c r="N513" i="2" s="1"/>
  <c r="S142" i="1"/>
  <c r="N762" i="1"/>
  <c r="K705" i="2"/>
  <c r="M555" i="2"/>
  <c r="P555" i="2" s="1"/>
  <c r="N534" i="2"/>
  <c r="P518" i="2"/>
  <c r="M516" i="2"/>
  <c r="P516" i="2" s="1"/>
  <c r="O377" i="2"/>
  <c r="L375" i="2"/>
  <c r="O375" i="2" s="1"/>
  <c r="M375" i="2"/>
  <c r="P375" i="2" s="1"/>
  <c r="J332" i="2"/>
  <c r="K332" i="2" s="1"/>
  <c r="M323" i="2"/>
  <c r="P323" i="2" s="1"/>
  <c r="M322" i="2"/>
  <c r="P322" i="2" s="1"/>
  <c r="P325" i="2"/>
  <c r="P321" i="2"/>
  <c r="P304" i="2"/>
  <c r="M272" i="2"/>
  <c r="P272" i="2" s="1"/>
  <c r="M268" i="2"/>
  <c r="P274" i="2"/>
  <c r="O283" i="2"/>
  <c r="R142" i="2"/>
  <c r="U142" i="2" s="1"/>
  <c r="U144" i="2"/>
  <c r="R141" i="2"/>
  <c r="R100" i="1"/>
  <c r="U100" i="1" s="1"/>
  <c r="K87" i="1"/>
  <c r="R96" i="1"/>
  <c r="K167" i="1"/>
  <c r="K238" i="1"/>
  <c r="R285" i="1"/>
  <c r="U285" i="1" s="1"/>
  <c r="Q535" i="1"/>
  <c r="T535" i="1" s="1"/>
  <c r="J636" i="1"/>
  <c r="J635" i="1" s="1"/>
  <c r="P644" i="2"/>
  <c r="O556" i="2"/>
  <c r="M534" i="2"/>
  <c r="P534" i="2" s="1"/>
  <c r="P535" i="2"/>
  <c r="M515" i="2"/>
  <c r="P515" i="2" s="1"/>
  <c r="O514" i="2"/>
  <c r="T334" i="2"/>
  <c r="Q333" i="2"/>
  <c r="T333" i="2" s="1"/>
  <c r="O325" i="2"/>
  <c r="L323" i="2"/>
  <c r="O323" i="2" s="1"/>
  <c r="L285" i="2"/>
  <c r="O285" i="2" s="1"/>
  <c r="O287" i="2"/>
  <c r="L284" i="2"/>
  <c r="O284" i="2" s="1"/>
  <c r="R282" i="2"/>
  <c r="U282" i="2" s="1"/>
  <c r="U283" i="2"/>
  <c r="S24" i="2"/>
  <c r="S19" i="2"/>
  <c r="R392" i="2"/>
  <c r="U392" i="2" s="1"/>
  <c r="U393" i="2"/>
  <c r="K127" i="2"/>
  <c r="I116" i="2"/>
  <c r="K116" i="2" s="1"/>
  <c r="K108" i="1"/>
  <c r="K114" i="1"/>
  <c r="N120" i="1"/>
  <c r="R158" i="1"/>
  <c r="U158" i="1" s="1"/>
  <c r="I374" i="1"/>
  <c r="K374" i="1" s="1"/>
  <c r="L714" i="2"/>
  <c r="O714" i="2" s="1"/>
  <c r="J674" i="2"/>
  <c r="S645" i="2"/>
  <c r="L616" i="2"/>
  <c r="O616" i="2" s="1"/>
  <c r="U556" i="2"/>
  <c r="L534" i="2"/>
  <c r="O534" i="2" s="1"/>
  <c r="O535" i="2"/>
  <c r="S513" i="2"/>
  <c r="M493" i="2"/>
  <c r="P493" i="2" s="1"/>
  <c r="P494" i="2"/>
  <c r="M392" i="2"/>
  <c r="P392" i="2" s="1"/>
  <c r="P393" i="2"/>
  <c r="M358" i="2"/>
  <c r="O338" i="2"/>
  <c r="N336" i="2"/>
  <c r="O336" i="2" s="1"/>
  <c r="O267" i="2"/>
  <c r="Q186" i="2"/>
  <c r="O178" i="2"/>
  <c r="N175" i="2"/>
  <c r="N173" i="2" s="1"/>
  <c r="N176" i="2"/>
  <c r="O176" i="2" s="1"/>
  <c r="S94" i="2"/>
  <c r="N174" i="1"/>
  <c r="N173" i="1" s="1"/>
  <c r="R176" i="1"/>
  <c r="U176" i="1" s="1"/>
  <c r="T380" i="1"/>
  <c r="O418" i="1"/>
  <c r="J424" i="1"/>
  <c r="O646" i="1"/>
  <c r="U715" i="2"/>
  <c r="U691" i="2"/>
  <c r="O691" i="2"/>
  <c r="R513" i="2"/>
  <c r="U513" i="2" s="1"/>
  <c r="U514" i="2"/>
  <c r="L392" i="2"/>
  <c r="O392" i="2" s="1"/>
  <c r="O393" i="2"/>
  <c r="Q375" i="2"/>
  <c r="T376" i="2"/>
  <c r="P364" i="2"/>
  <c r="M362" i="2"/>
  <c r="P362" i="2" s="1"/>
  <c r="P338" i="2"/>
  <c r="M336" i="2"/>
  <c r="L288" i="2"/>
  <c r="O288" i="2" s="1"/>
  <c r="O290" i="2"/>
  <c r="Q159" i="2"/>
  <c r="T159" i="2" s="1"/>
  <c r="T162" i="2"/>
  <c r="Q160" i="2"/>
  <c r="T160" i="2" s="1"/>
  <c r="N46" i="1"/>
  <c r="N44" i="1" s="1"/>
  <c r="P307" i="1"/>
  <c r="N304" i="1"/>
  <c r="N303" i="1" s="1"/>
  <c r="L377" i="1"/>
  <c r="O377" i="1" s="1"/>
  <c r="M398" i="1"/>
  <c r="P398" i="1" s="1"/>
  <c r="J459" i="1"/>
  <c r="N515" i="1"/>
  <c r="N577" i="1"/>
  <c r="K749" i="1"/>
  <c r="K627" i="1"/>
  <c r="U733" i="2"/>
  <c r="Q692" i="2"/>
  <c r="T692" i="2" s="1"/>
  <c r="P617" i="2"/>
  <c r="R534" i="2"/>
  <c r="U534" i="2" s="1"/>
  <c r="U535" i="2"/>
  <c r="Q513" i="2"/>
  <c r="T513" i="2" s="1"/>
  <c r="T514" i="2"/>
  <c r="S496" i="2"/>
  <c r="T498" i="2"/>
  <c r="S495" i="2"/>
  <c r="S493" i="2" s="1"/>
  <c r="I365" i="2"/>
  <c r="K365" i="2" s="1"/>
  <c r="Q356" i="2"/>
  <c r="T356" i="2" s="1"/>
  <c r="M335" i="2"/>
  <c r="N269" i="2"/>
  <c r="P269" i="2" s="1"/>
  <c r="P271" i="2"/>
  <c r="N268" i="2"/>
  <c r="N266" i="2" s="1"/>
  <c r="S142" i="2"/>
  <c r="S141" i="2"/>
  <c r="S139" i="2" s="1"/>
  <c r="S97" i="2"/>
  <c r="P514" i="2"/>
  <c r="J503" i="2"/>
  <c r="T380" i="2"/>
  <c r="O361" i="2"/>
  <c r="L335" i="2"/>
  <c r="S320" i="2"/>
  <c r="R303" i="2"/>
  <c r="U303" i="2" s="1"/>
  <c r="K293" i="2"/>
  <c r="U271" i="2"/>
  <c r="S269" i="2"/>
  <c r="S268" i="2"/>
  <c r="S266" i="2" s="1"/>
  <c r="R266" i="2"/>
  <c r="L235" i="2"/>
  <c r="L203" i="2"/>
  <c r="O203" i="2" s="1"/>
  <c r="L188" i="2"/>
  <c r="O191" i="2"/>
  <c r="L189" i="2"/>
  <c r="O189" i="2" s="1"/>
  <c r="P178" i="2"/>
  <c r="M175" i="2"/>
  <c r="M173" i="2" s="1"/>
  <c r="M176" i="2"/>
  <c r="P52" i="2"/>
  <c r="M26" i="2"/>
  <c r="P26" i="2" s="1"/>
  <c r="M50" i="2"/>
  <c r="P50" i="2" s="1"/>
  <c r="N358" i="2"/>
  <c r="N356" i="2" s="1"/>
  <c r="O194" i="2"/>
  <c r="L192" i="2"/>
  <c r="O192" i="2" s="1"/>
  <c r="P174" i="2"/>
  <c r="T96" i="2"/>
  <c r="L309" i="2"/>
  <c r="O309" i="2" s="1"/>
  <c r="U191" i="2"/>
  <c r="R189" i="2"/>
  <c r="L163" i="2"/>
  <c r="O163" i="2" s="1"/>
  <c r="O165" i="2"/>
  <c r="N119" i="2"/>
  <c r="N117" i="2" s="1"/>
  <c r="U19" i="2"/>
  <c r="R320" i="2"/>
  <c r="U320" i="2" s="1"/>
  <c r="T191" i="2"/>
  <c r="Q189" i="2"/>
  <c r="R188" i="2"/>
  <c r="L159" i="2"/>
  <c r="O159" i="2" s="1"/>
  <c r="L142" i="2"/>
  <c r="O142" i="2" s="1"/>
  <c r="O144" i="2"/>
  <c r="I138" i="2"/>
  <c r="K138" i="2" s="1"/>
  <c r="M119" i="2"/>
  <c r="O95" i="2"/>
  <c r="K229" i="2"/>
  <c r="I202" i="2"/>
  <c r="K202" i="2" s="1"/>
  <c r="R173" i="2"/>
  <c r="U173" i="2" s="1"/>
  <c r="K169" i="2"/>
  <c r="U162" i="2"/>
  <c r="R159" i="2"/>
  <c r="U159" i="2" s="1"/>
  <c r="Q142" i="2"/>
  <c r="T142" i="2" s="1"/>
  <c r="U118" i="2"/>
  <c r="I93" i="2"/>
  <c r="K93" i="2" s="1"/>
  <c r="K109" i="2"/>
  <c r="R94" i="2"/>
  <c r="U94" i="2" s="1"/>
  <c r="P67" i="2"/>
  <c r="M65" i="2"/>
  <c r="P65" i="2" s="1"/>
  <c r="O47" i="2"/>
  <c r="Q268" i="2"/>
  <c r="Q120" i="2"/>
  <c r="T120" i="2" s="1"/>
  <c r="K108" i="2"/>
  <c r="M100" i="2"/>
  <c r="P100" i="2" s="1"/>
  <c r="L26" i="2"/>
  <c r="N96" i="2"/>
  <c r="N94" i="2" s="1"/>
  <c r="P22" i="2"/>
  <c r="M19" i="2"/>
  <c r="M188" i="2"/>
  <c r="M179" i="2"/>
  <c r="P179" i="2" s="1"/>
  <c r="L175" i="2"/>
  <c r="M142" i="2"/>
  <c r="P142" i="2" s="1"/>
  <c r="M141" i="2"/>
  <c r="M123" i="2"/>
  <c r="P123" i="2" s="1"/>
  <c r="M96" i="2"/>
  <c r="N26" i="2"/>
  <c r="N24" i="2" s="1"/>
  <c r="P25" i="2"/>
  <c r="R120" i="2"/>
  <c r="U120" i="2" s="1"/>
  <c r="L120" i="2"/>
  <c r="O120" i="2" s="1"/>
  <c r="R97" i="2"/>
  <c r="U97" i="2" s="1"/>
  <c r="L97" i="2"/>
  <c r="O97" i="2" s="1"/>
  <c r="O80" i="2"/>
  <c r="U77" i="2"/>
  <c r="O77" i="2"/>
  <c r="Q75" i="2"/>
  <c r="T75" i="2" s="1"/>
  <c r="O64" i="2"/>
  <c r="N50" i="2"/>
  <c r="O49" i="2"/>
  <c r="N23" i="2"/>
  <c r="N74" i="2"/>
  <c r="N72" i="2" s="1"/>
  <c r="N61" i="2"/>
  <c r="N59" i="2" s="1"/>
  <c r="N46" i="2"/>
  <c r="N44" i="2" s="1"/>
  <c r="S23" i="2"/>
  <c r="S20" i="2" s="1"/>
  <c r="M23" i="2"/>
  <c r="Q19" i="2"/>
  <c r="S74" i="2"/>
  <c r="S72" i="2" s="1"/>
  <c r="M74" i="2"/>
  <c r="M61" i="2"/>
  <c r="M46" i="2"/>
  <c r="R23" i="2"/>
  <c r="L23" i="2"/>
  <c r="Q23" i="2"/>
  <c r="L100" i="1"/>
  <c r="O100" i="1" s="1"/>
  <c r="O141" i="1"/>
  <c r="L321" i="1"/>
  <c r="O321" i="1" s="1"/>
  <c r="R339" i="1"/>
  <c r="U339" i="1" s="1"/>
  <c r="S334" i="1"/>
  <c r="S335" i="1"/>
  <c r="P397" i="1"/>
  <c r="Q514" i="1"/>
  <c r="T514" i="1" s="1"/>
  <c r="U603" i="1"/>
  <c r="M622" i="1"/>
  <c r="P622" i="1" s="1"/>
  <c r="M644" i="1"/>
  <c r="P644" i="1" s="1"/>
  <c r="R643" i="1"/>
  <c r="U643" i="1" s="1"/>
  <c r="S648" i="1"/>
  <c r="Q717" i="1"/>
  <c r="T717" i="1" s="1"/>
  <c r="T765" i="1"/>
  <c r="Q73" i="1"/>
  <c r="T73" i="1" s="1"/>
  <c r="K89" i="1"/>
  <c r="N142" i="1"/>
  <c r="K344" i="1"/>
  <c r="M393" i="1"/>
  <c r="P393" i="1" s="1"/>
  <c r="J467" i="1"/>
  <c r="S514" i="1"/>
  <c r="Q577" i="1"/>
  <c r="T577" i="1" s="1"/>
  <c r="S617" i="1"/>
  <c r="J654" i="1"/>
  <c r="M691" i="1"/>
  <c r="P691" i="1" s="1"/>
  <c r="S715" i="1"/>
  <c r="S714" i="1" s="1"/>
  <c r="S731" i="1"/>
  <c r="P735" i="1"/>
  <c r="Q648" i="1"/>
  <c r="T648" i="1" s="1"/>
  <c r="S47" i="1"/>
  <c r="N25" i="1"/>
  <c r="R73" i="1"/>
  <c r="U73" i="1" s="1"/>
  <c r="P74" i="1"/>
  <c r="Q120" i="1"/>
  <c r="O144" i="1"/>
  <c r="N268" i="1"/>
  <c r="M499" i="1"/>
  <c r="P499" i="1" s="1"/>
  <c r="M556" i="1"/>
  <c r="P556" i="1" s="1"/>
  <c r="M578" i="1"/>
  <c r="P578" i="1" s="1"/>
  <c r="N600" i="1"/>
  <c r="N617" i="1"/>
  <c r="N619" i="1"/>
  <c r="U646" i="1"/>
  <c r="M692" i="1"/>
  <c r="P692" i="1" s="1"/>
  <c r="N692" i="1"/>
  <c r="S720" i="1"/>
  <c r="S730" i="1"/>
  <c r="Q734" i="1"/>
  <c r="T734" i="1" s="1"/>
  <c r="K752" i="1"/>
  <c r="N309" i="1"/>
  <c r="N377" i="1"/>
  <c r="Q22" i="1"/>
  <c r="T22" i="1" s="1"/>
  <c r="N61" i="1"/>
  <c r="P61" i="1" s="1"/>
  <c r="Q75" i="1"/>
  <c r="K85" i="1"/>
  <c r="S120" i="1"/>
  <c r="R119" i="1"/>
  <c r="U119" i="1" s="1"/>
  <c r="K129" i="1"/>
  <c r="Q140" i="1"/>
  <c r="T140" i="1" s="1"/>
  <c r="P141" i="1"/>
  <c r="Q145" i="1"/>
  <c r="T145" i="1" s="1"/>
  <c r="Q174" i="1"/>
  <c r="T174" i="1" s="1"/>
  <c r="Q189" i="1"/>
  <c r="S188" i="1"/>
  <c r="T188" i="1" s="1"/>
  <c r="M358" i="1"/>
  <c r="N376" i="1"/>
  <c r="S515" i="1"/>
  <c r="L577" i="1"/>
  <c r="O577" i="1" s="1"/>
  <c r="S578" i="1"/>
  <c r="S576" i="1" s="1"/>
  <c r="S582" i="1"/>
  <c r="N601" i="1"/>
  <c r="Q618" i="1"/>
  <c r="M648" i="1"/>
  <c r="P648" i="1" s="1"/>
  <c r="R729" i="1"/>
  <c r="U729" i="1" s="1"/>
  <c r="K742" i="1"/>
  <c r="R761" i="1"/>
  <c r="U761" i="1" s="1"/>
  <c r="S123" i="1"/>
  <c r="R268" i="1"/>
  <c r="S285" i="1"/>
  <c r="R26" i="1"/>
  <c r="U26" i="1" s="1"/>
  <c r="K116" i="1"/>
  <c r="Q158" i="1"/>
  <c r="M187" i="1"/>
  <c r="P187" i="1" s="1"/>
  <c r="T271" i="1"/>
  <c r="Q339" i="1"/>
  <c r="T339" i="1" s="1"/>
  <c r="N717" i="1"/>
  <c r="R763" i="1"/>
  <c r="K628" i="1"/>
  <c r="Q60" i="1"/>
  <c r="T60" i="1" s="1"/>
  <c r="T63" i="1"/>
  <c r="R62" i="1"/>
  <c r="U62" i="1" s="1"/>
  <c r="L73" i="1"/>
  <c r="O73" i="1" s="1"/>
  <c r="P77" i="1"/>
  <c r="J83" i="1"/>
  <c r="J71" i="1" s="1"/>
  <c r="I92" i="1"/>
  <c r="K92" i="1" s="1"/>
  <c r="L140" i="1"/>
  <c r="L139" i="1" s="1"/>
  <c r="T191" i="1"/>
  <c r="K265" i="1"/>
  <c r="L336" i="1"/>
  <c r="O336" i="1" s="1"/>
  <c r="S336" i="1"/>
  <c r="N357" i="1"/>
  <c r="P364" i="1"/>
  <c r="Q378" i="1"/>
  <c r="R394" i="1"/>
  <c r="U394" i="1" s="1"/>
  <c r="L494" i="1"/>
  <c r="O494" i="1" s="1"/>
  <c r="Q495" i="1"/>
  <c r="T495" i="1" s="1"/>
  <c r="T497" i="1"/>
  <c r="L515" i="1"/>
  <c r="O521" i="1"/>
  <c r="R556" i="1"/>
  <c r="U556" i="1" s="1"/>
  <c r="L578" i="1"/>
  <c r="O578" i="1" s="1"/>
  <c r="K653" i="1"/>
  <c r="R715" i="1"/>
  <c r="U715" i="1" s="1"/>
  <c r="S717" i="1"/>
  <c r="Q720" i="1"/>
  <c r="T720" i="1" s="1"/>
  <c r="M729" i="1"/>
  <c r="P729" i="1" s="1"/>
  <c r="M762" i="1"/>
  <c r="P762" i="1" s="1"/>
  <c r="N761" i="1"/>
  <c r="L766" i="1"/>
  <c r="O766" i="1" s="1"/>
  <c r="P49" i="1"/>
  <c r="O52" i="1"/>
  <c r="R60" i="1"/>
  <c r="U60" i="1" s="1"/>
  <c r="N22" i="1"/>
  <c r="I83" i="1"/>
  <c r="I82" i="1"/>
  <c r="I70" i="1" s="1"/>
  <c r="K88" i="1"/>
  <c r="L118" i="1"/>
  <c r="O118" i="1" s="1"/>
  <c r="P122" i="1"/>
  <c r="M140" i="1"/>
  <c r="P140" i="1" s="1"/>
  <c r="K152" i="1"/>
  <c r="N189" i="1"/>
  <c r="O189" i="1" s="1"/>
  <c r="L267" i="1"/>
  <c r="O267" i="1" s="1"/>
  <c r="P271" i="1"/>
  <c r="U273" i="1"/>
  <c r="S272" i="1"/>
  <c r="R283" i="1"/>
  <c r="R282" i="1" s="1"/>
  <c r="U282" i="1" s="1"/>
  <c r="U287" i="1"/>
  <c r="S305" i="1"/>
  <c r="L334" i="1"/>
  <c r="O334" i="1" s="1"/>
  <c r="R357" i="1"/>
  <c r="U357" i="1" s="1"/>
  <c r="S357" i="1"/>
  <c r="S356" i="1" s="1"/>
  <c r="M395" i="1"/>
  <c r="P395" i="1" s="1"/>
  <c r="S393" i="1"/>
  <c r="N398" i="1"/>
  <c r="M414" i="1"/>
  <c r="P414" i="1" s="1"/>
  <c r="S415" i="1"/>
  <c r="S413" i="1" s="1"/>
  <c r="J432" i="1"/>
  <c r="N496" i="1"/>
  <c r="U497" i="1"/>
  <c r="P517" i="1"/>
  <c r="M557" i="1"/>
  <c r="P557" i="1" s="1"/>
  <c r="P559" i="1"/>
  <c r="N579" i="1"/>
  <c r="L582" i="1"/>
  <c r="O582" i="1" s="1"/>
  <c r="S602" i="1"/>
  <c r="N622" i="1"/>
  <c r="J632" i="1"/>
  <c r="J626" i="1" s="1"/>
  <c r="J615" i="1" s="1"/>
  <c r="L645" i="1"/>
  <c r="O645" i="1" s="1"/>
  <c r="S645" i="1"/>
  <c r="T647" i="1"/>
  <c r="R691" i="1"/>
  <c r="U691" i="1" s="1"/>
  <c r="N693" i="1"/>
  <c r="S729" i="1"/>
  <c r="U733" i="1"/>
  <c r="K740" i="1"/>
  <c r="J727" i="1"/>
  <c r="K727" i="1" s="1"/>
  <c r="Q763" i="1"/>
  <c r="S766" i="1"/>
  <c r="K780" i="1"/>
  <c r="K783" i="1"/>
  <c r="S60" i="1"/>
  <c r="S59" i="1" s="1"/>
  <c r="O63" i="1"/>
  <c r="L62" i="1"/>
  <c r="S65" i="1"/>
  <c r="N158" i="1"/>
  <c r="N157" i="1" s="1"/>
  <c r="N283" i="1"/>
  <c r="O287" i="1"/>
  <c r="O325" i="1"/>
  <c r="Q326" i="1"/>
  <c r="T326" i="1" s="1"/>
  <c r="Q334" i="1"/>
  <c r="T334" i="1" s="1"/>
  <c r="P338" i="1"/>
  <c r="K369" i="1"/>
  <c r="M378" i="1"/>
  <c r="P378" i="1" s="1"/>
  <c r="Q381" i="1"/>
  <c r="T381" i="1" s="1"/>
  <c r="S394" i="1"/>
  <c r="Q414" i="1"/>
  <c r="T414" i="1" s="1"/>
  <c r="N415" i="1"/>
  <c r="J447" i="1"/>
  <c r="J441" i="1" s="1"/>
  <c r="L496" i="1"/>
  <c r="O496" i="1" s="1"/>
  <c r="L514" i="1"/>
  <c r="O514" i="1" s="1"/>
  <c r="R557" i="1"/>
  <c r="U557" i="1" s="1"/>
  <c r="R577" i="1"/>
  <c r="U577" i="1" s="1"/>
  <c r="T621" i="1"/>
  <c r="S644" i="1"/>
  <c r="N715" i="1"/>
  <c r="N714" i="1" s="1"/>
  <c r="M23" i="1"/>
  <c r="Q26" i="1"/>
  <c r="T26" i="1" s="1"/>
  <c r="P64" i="1"/>
  <c r="S96" i="1"/>
  <c r="M120" i="1"/>
  <c r="P120" i="1" s="1"/>
  <c r="K136" i="1"/>
  <c r="S158" i="1"/>
  <c r="O175" i="1"/>
  <c r="O191" i="1"/>
  <c r="Q268" i="1"/>
  <c r="R267" i="1"/>
  <c r="U267" i="1" s="1"/>
  <c r="M322" i="1"/>
  <c r="M321" i="1"/>
  <c r="P321" i="1" s="1"/>
  <c r="J351" i="1"/>
  <c r="P360" i="1"/>
  <c r="M362" i="1"/>
  <c r="P362" i="1" s="1"/>
  <c r="M377" i="1"/>
  <c r="P377" i="1" s="1"/>
  <c r="Q398" i="1"/>
  <c r="T398" i="1" s="1"/>
  <c r="J485" i="1"/>
  <c r="L495" i="1"/>
  <c r="O495" i="1" s="1"/>
  <c r="Q496" i="1"/>
  <c r="Q643" i="1"/>
  <c r="T643" i="1" s="1"/>
  <c r="N648" i="1"/>
  <c r="R730" i="1"/>
  <c r="U765" i="1"/>
  <c r="M176" i="1"/>
  <c r="O47" i="1"/>
  <c r="S26" i="1"/>
  <c r="K151" i="1"/>
  <c r="L174" i="1"/>
  <c r="M175" i="1"/>
  <c r="P175" i="1" s="1"/>
  <c r="O178" i="1"/>
  <c r="R179" i="1"/>
  <c r="U179" i="1" s="1"/>
  <c r="Q192" i="1"/>
  <c r="T192" i="1" s="1"/>
  <c r="Q305" i="1"/>
  <c r="Q303" i="1" s="1"/>
  <c r="N322" i="1"/>
  <c r="K330" i="1"/>
  <c r="M495" i="1"/>
  <c r="P495" i="1" s="1"/>
  <c r="S496" i="1"/>
  <c r="S557" i="1"/>
  <c r="L579" i="1"/>
  <c r="O579" i="1" s="1"/>
  <c r="Q600" i="1"/>
  <c r="T600" i="1" s="1"/>
  <c r="R734" i="1"/>
  <c r="U734" i="1" s="1"/>
  <c r="K778" i="1"/>
  <c r="K302" i="1"/>
  <c r="K319" i="1"/>
  <c r="R359" i="1"/>
  <c r="U359" i="1" s="1"/>
  <c r="R142" i="1"/>
  <c r="U142" i="1" s="1"/>
  <c r="R140" i="1"/>
  <c r="R23" i="1"/>
  <c r="M381" i="1"/>
  <c r="P381" i="1" s="1"/>
  <c r="P382" i="1"/>
  <c r="M376" i="1"/>
  <c r="O559" i="1"/>
  <c r="L558" i="1"/>
  <c r="O558" i="1" s="1"/>
  <c r="L556" i="1"/>
  <c r="O556" i="1" s="1"/>
  <c r="P52" i="1"/>
  <c r="M60" i="1"/>
  <c r="P60" i="1" s="1"/>
  <c r="N65" i="1"/>
  <c r="L96" i="1"/>
  <c r="O96" i="1" s="1"/>
  <c r="O102" i="1"/>
  <c r="N118" i="1"/>
  <c r="N117" i="1" s="1"/>
  <c r="L120" i="1"/>
  <c r="O120" i="1" s="1"/>
  <c r="L119" i="1"/>
  <c r="O119" i="1" s="1"/>
  <c r="Q123" i="1"/>
  <c r="T123" i="1" s="1"/>
  <c r="Q119" i="1"/>
  <c r="Q117" i="1" s="1"/>
  <c r="O162" i="1"/>
  <c r="L159" i="1"/>
  <c r="O159" i="1" s="1"/>
  <c r="S189" i="1"/>
  <c r="S187" i="1"/>
  <c r="K230" i="1"/>
  <c r="I185" i="1"/>
  <c r="K185" i="1" s="1"/>
  <c r="L339" i="1"/>
  <c r="O339" i="1" s="1"/>
  <c r="Q415" i="1"/>
  <c r="T415" i="1" s="1"/>
  <c r="T421" i="1"/>
  <c r="J476" i="1"/>
  <c r="J475" i="1"/>
  <c r="R61" i="1"/>
  <c r="P270" i="1"/>
  <c r="M269" i="1"/>
  <c r="M267" i="1"/>
  <c r="P267" i="1" s="1"/>
  <c r="S558" i="1"/>
  <c r="S556" i="1"/>
  <c r="N729" i="1"/>
  <c r="N728" i="1" s="1"/>
  <c r="N734" i="1"/>
  <c r="N60" i="1"/>
  <c r="N62" i="1"/>
  <c r="S145" i="1"/>
  <c r="S140" i="1"/>
  <c r="S139" i="1" s="1"/>
  <c r="U147" i="1"/>
  <c r="R141" i="1"/>
  <c r="U141" i="1" s="1"/>
  <c r="M160" i="1"/>
  <c r="P161" i="1"/>
  <c r="M158" i="1"/>
  <c r="K183" i="1"/>
  <c r="I172" i="1"/>
  <c r="K172" i="1" s="1"/>
  <c r="P273" i="1"/>
  <c r="M272" i="1"/>
  <c r="P272" i="1" s="1"/>
  <c r="R306" i="1"/>
  <c r="U307" i="1"/>
  <c r="O341" i="1"/>
  <c r="L335" i="1"/>
  <c r="O335" i="1" s="1"/>
  <c r="R378" i="1"/>
  <c r="R376" i="1"/>
  <c r="U376" i="1" s="1"/>
  <c r="U380" i="1"/>
  <c r="R377" i="1"/>
  <c r="U377" i="1" s="1"/>
  <c r="P289" i="1"/>
  <c r="M288" i="1"/>
  <c r="P288" i="1" s="1"/>
  <c r="T767" i="1"/>
  <c r="Q761" i="1"/>
  <c r="Q766" i="1"/>
  <c r="T766" i="1" s="1"/>
  <c r="U191" i="1"/>
  <c r="R188" i="1"/>
  <c r="S23" i="1"/>
  <c r="M46" i="1"/>
  <c r="Q25" i="1"/>
  <c r="T25" i="1" s="1"/>
  <c r="O49" i="1"/>
  <c r="O64" i="1"/>
  <c r="R65" i="1"/>
  <c r="U65" i="1" s="1"/>
  <c r="N94" i="1"/>
  <c r="T99" i="1"/>
  <c r="Q96" i="1"/>
  <c r="Q97" i="1"/>
  <c r="T97" i="1" s="1"/>
  <c r="I169" i="1"/>
  <c r="K169" i="1" s="1"/>
  <c r="K168" i="1"/>
  <c r="S179" i="1"/>
  <c r="S174" i="1"/>
  <c r="S173" i="1" s="1"/>
  <c r="P287" i="1"/>
  <c r="M284" i="1"/>
  <c r="M285" i="1"/>
  <c r="S284" i="1"/>
  <c r="S282" i="1" s="1"/>
  <c r="S288" i="1"/>
  <c r="Q323" i="1"/>
  <c r="T323" i="1" s="1"/>
  <c r="Q322" i="1"/>
  <c r="T322" i="1" s="1"/>
  <c r="T325" i="1"/>
  <c r="O694" i="1"/>
  <c r="L693" i="1"/>
  <c r="O693" i="1" s="1"/>
  <c r="L691" i="1"/>
  <c r="O691" i="1" s="1"/>
  <c r="S693" i="1"/>
  <c r="S691" i="1"/>
  <c r="S690" i="1" s="1"/>
  <c r="T698" i="1"/>
  <c r="Q692" i="1"/>
  <c r="T692" i="1" s="1"/>
  <c r="N358" i="1"/>
  <c r="P361" i="1"/>
  <c r="R334" i="1"/>
  <c r="U337" i="1"/>
  <c r="S22" i="1"/>
  <c r="M26" i="1"/>
  <c r="P26" i="1" s="1"/>
  <c r="L65" i="1"/>
  <c r="O65" i="1" s="1"/>
  <c r="O67" i="1"/>
  <c r="N78" i="1"/>
  <c r="N73" i="1"/>
  <c r="N72" i="1" s="1"/>
  <c r="I93" i="1"/>
  <c r="K93" i="1" s="1"/>
  <c r="K109" i="1"/>
  <c r="T144" i="1"/>
  <c r="Q142" i="1"/>
  <c r="T142" i="1" s="1"/>
  <c r="Q141" i="1"/>
  <c r="T141" i="1" s="1"/>
  <c r="P165" i="1"/>
  <c r="M159" i="1"/>
  <c r="P159" i="1" s="1"/>
  <c r="Q175" i="1"/>
  <c r="T175" i="1" s="1"/>
  <c r="O290" i="1"/>
  <c r="L288" i="1"/>
  <c r="O288" i="1" s="1"/>
  <c r="L284" i="1"/>
  <c r="U324" i="1"/>
  <c r="R321" i="1"/>
  <c r="N359" i="1"/>
  <c r="P359" i="1" s="1"/>
  <c r="R648" i="1"/>
  <c r="U648" i="1" s="1"/>
  <c r="U649" i="1"/>
  <c r="M78" i="1"/>
  <c r="P78" i="1" s="1"/>
  <c r="K86" i="1"/>
  <c r="M118" i="1"/>
  <c r="S118" i="1"/>
  <c r="S117" i="1" s="1"/>
  <c r="M123" i="1"/>
  <c r="P123" i="1" s="1"/>
  <c r="R123" i="1"/>
  <c r="U123" i="1" s="1"/>
  <c r="L158" i="1"/>
  <c r="O158" i="1" s="1"/>
  <c r="P162" i="1"/>
  <c r="M163" i="1"/>
  <c r="P163" i="1" s="1"/>
  <c r="N163" i="1"/>
  <c r="U498" i="1"/>
  <c r="R495" i="1"/>
  <c r="U495" i="1" s="1"/>
  <c r="M619" i="1"/>
  <c r="P619" i="1" s="1"/>
  <c r="P620" i="1"/>
  <c r="M617" i="1"/>
  <c r="M25" i="1"/>
  <c r="P25" i="1" s="1"/>
  <c r="K84" i="1"/>
  <c r="N100" i="1"/>
  <c r="L123" i="1"/>
  <c r="O123" i="1" s="1"/>
  <c r="K154" i="1"/>
  <c r="N160" i="1"/>
  <c r="M179" i="1"/>
  <c r="P179" i="1" s="1"/>
  <c r="L187" i="1"/>
  <c r="L188" i="1"/>
  <c r="O188" i="1" s="1"/>
  <c r="P191" i="1"/>
  <c r="O196" i="1"/>
  <c r="K198" i="1"/>
  <c r="K228" i="1"/>
  <c r="N267" i="1"/>
  <c r="K276" i="1"/>
  <c r="M283" i="1"/>
  <c r="T308" i="1"/>
  <c r="R326" i="1"/>
  <c r="U326" i="1" s="1"/>
  <c r="M335" i="1"/>
  <c r="P335" i="1" s="1"/>
  <c r="Q357" i="1"/>
  <c r="R362" i="1"/>
  <c r="U362" i="1" s="1"/>
  <c r="K368" i="1"/>
  <c r="K371" i="1"/>
  <c r="Q376" i="1"/>
  <c r="Q377" i="1"/>
  <c r="T377" i="1" s="1"/>
  <c r="R419" i="1"/>
  <c r="U419" i="1" s="1"/>
  <c r="K440" i="1"/>
  <c r="I423" i="1"/>
  <c r="K423" i="1" s="1"/>
  <c r="M515" i="1"/>
  <c r="P515" i="1" s="1"/>
  <c r="P580" i="1"/>
  <c r="M579" i="1"/>
  <c r="P579" i="1" s="1"/>
  <c r="L605" i="1"/>
  <c r="O605" i="1" s="1"/>
  <c r="O606" i="1"/>
  <c r="L600" i="1"/>
  <c r="U647" i="1"/>
  <c r="R644" i="1"/>
  <c r="O697" i="1"/>
  <c r="L696" i="1"/>
  <c r="O696" i="1" s="1"/>
  <c r="S75" i="1"/>
  <c r="P144" i="1"/>
  <c r="P188" i="1"/>
  <c r="N272" i="1"/>
  <c r="Q283" i="1"/>
  <c r="T283" i="1" s="1"/>
  <c r="N284" i="1"/>
  <c r="Q285" i="1"/>
  <c r="T285" i="1" s="1"/>
  <c r="K296" i="1"/>
  <c r="K314" i="1"/>
  <c r="N321" i="1"/>
  <c r="P325" i="1"/>
  <c r="S326" i="1"/>
  <c r="N334" i="1"/>
  <c r="N333" i="1" s="1"/>
  <c r="M336" i="1"/>
  <c r="P336" i="1" s="1"/>
  <c r="J343" i="1"/>
  <c r="P363" i="1"/>
  <c r="L362" i="1"/>
  <c r="O362" i="1" s="1"/>
  <c r="S362" i="1"/>
  <c r="T396" i="1"/>
  <c r="Q393" i="1"/>
  <c r="T393" i="1" s="1"/>
  <c r="U494" i="1"/>
  <c r="R499" i="1"/>
  <c r="U499" i="1" s="1"/>
  <c r="U500" i="1"/>
  <c r="O538" i="1"/>
  <c r="L535" i="1"/>
  <c r="O535" i="1" s="1"/>
  <c r="L536" i="1"/>
  <c r="O536" i="1" s="1"/>
  <c r="O539" i="1"/>
  <c r="U600" i="1"/>
  <c r="Q617" i="1"/>
  <c r="P733" i="1"/>
  <c r="M730" i="1"/>
  <c r="P730" i="1" s="1"/>
  <c r="T77" i="1"/>
  <c r="N97" i="1"/>
  <c r="Q179" i="1"/>
  <c r="T179" i="1" s="1"/>
  <c r="J199" i="1"/>
  <c r="Q288" i="1"/>
  <c r="T288" i="1" s="1"/>
  <c r="Q321" i="1"/>
  <c r="U325" i="1"/>
  <c r="S339" i="1"/>
  <c r="L357" i="1"/>
  <c r="O357" i="1" s="1"/>
  <c r="Q358" i="1"/>
  <c r="T358" i="1" s="1"/>
  <c r="L359" i="1"/>
  <c r="Q362" i="1"/>
  <c r="T362" i="1" s="1"/>
  <c r="L376" i="1"/>
  <c r="S376" i="1"/>
  <c r="S375" i="1" s="1"/>
  <c r="I456" i="1"/>
  <c r="K456" i="1" s="1"/>
  <c r="K457" i="1"/>
  <c r="O500" i="1"/>
  <c r="L499" i="1"/>
  <c r="O499" i="1" s="1"/>
  <c r="Q558" i="1"/>
  <c r="T558" i="1" s="1"/>
  <c r="T560" i="1"/>
  <c r="N561" i="1"/>
  <c r="N557" i="1"/>
  <c r="K630" i="1"/>
  <c r="K631" i="1"/>
  <c r="K629" i="1"/>
  <c r="M720" i="1"/>
  <c r="P720" i="1" s="1"/>
  <c r="T732" i="1"/>
  <c r="Q729" i="1"/>
  <c r="T729" i="1" s="1"/>
  <c r="S763" i="1"/>
  <c r="S761" i="1"/>
  <c r="S760" i="1" s="1"/>
  <c r="S73" i="1"/>
  <c r="S72" i="1" s="1"/>
  <c r="Q74" i="1"/>
  <c r="T74" i="1" s="1"/>
  <c r="R74" i="1"/>
  <c r="U74" i="1" s="1"/>
  <c r="K90" i="1"/>
  <c r="M96" i="1"/>
  <c r="P96" i="1" s="1"/>
  <c r="Q100" i="1"/>
  <c r="T100" i="1" s="1"/>
  <c r="S100" i="1"/>
  <c r="R120" i="1"/>
  <c r="K127" i="1"/>
  <c r="N139" i="1"/>
  <c r="R145" i="1"/>
  <c r="U145" i="1" s="1"/>
  <c r="K153" i="1"/>
  <c r="L179" i="1"/>
  <c r="O179" i="1" s="1"/>
  <c r="R189" i="1"/>
  <c r="K209" i="1"/>
  <c r="K219" i="1"/>
  <c r="O232" i="1"/>
  <c r="R269" i="1"/>
  <c r="L272" i="1"/>
  <c r="O272" i="1" s="1"/>
  <c r="K293" i="1"/>
  <c r="N306" i="1"/>
  <c r="O306" i="1" s="1"/>
  <c r="R309" i="1"/>
  <c r="U309" i="1" s="1"/>
  <c r="L326" i="1"/>
  <c r="O326" i="1" s="1"/>
  <c r="Q335" i="1"/>
  <c r="Q336" i="1"/>
  <c r="T336" i="1" s="1"/>
  <c r="M339" i="1"/>
  <c r="P339" i="1" s="1"/>
  <c r="M357" i="1"/>
  <c r="O417" i="1"/>
  <c r="L416" i="1"/>
  <c r="O416" i="1" s="1"/>
  <c r="R415" i="1"/>
  <c r="U415" i="1" s="1"/>
  <c r="R416" i="1"/>
  <c r="U416" i="1" s="1"/>
  <c r="U418" i="1"/>
  <c r="R496" i="1"/>
  <c r="U517" i="1"/>
  <c r="R514" i="1"/>
  <c r="U514" i="1" s="1"/>
  <c r="U518" i="1"/>
  <c r="R515" i="1"/>
  <c r="U515" i="1" s="1"/>
  <c r="Q556" i="1"/>
  <c r="T556" i="1" s="1"/>
  <c r="T562" i="1"/>
  <c r="R578" i="1"/>
  <c r="U578" i="1" s="1"/>
  <c r="U604" i="1"/>
  <c r="R601" i="1"/>
  <c r="U601" i="1" s="1"/>
  <c r="T607" i="1"/>
  <c r="Q605" i="1"/>
  <c r="T605" i="1" s="1"/>
  <c r="U621" i="1"/>
  <c r="R618" i="1"/>
  <c r="M716" i="1"/>
  <c r="P716" i="1" s="1"/>
  <c r="P719" i="1"/>
  <c r="K755" i="1"/>
  <c r="L398" i="1"/>
  <c r="O398" i="1" s="1"/>
  <c r="R398" i="1"/>
  <c r="U398" i="1" s="1"/>
  <c r="J433" i="1"/>
  <c r="J446" i="1"/>
  <c r="J440" i="1" s="1"/>
  <c r="J423" i="1" s="1"/>
  <c r="J412" i="1" s="1"/>
  <c r="M494" i="1"/>
  <c r="P501" i="1"/>
  <c r="R535" i="1"/>
  <c r="U535" i="1" s="1"/>
  <c r="M540" i="1"/>
  <c r="P540" i="1" s="1"/>
  <c r="U606" i="1"/>
  <c r="L618" i="1"/>
  <c r="O618" i="1" s="1"/>
  <c r="L648" i="1"/>
  <c r="O648" i="1" s="1"/>
  <c r="J661" i="1"/>
  <c r="J674" i="1"/>
  <c r="M693" i="1"/>
  <c r="P693" i="1" s="1"/>
  <c r="U695" i="1"/>
  <c r="M696" i="1"/>
  <c r="P696" i="1" s="1"/>
  <c r="Q715" i="1"/>
  <c r="N720" i="1"/>
  <c r="O735" i="1"/>
  <c r="U735" i="1"/>
  <c r="M761" i="1"/>
  <c r="P761" i="1" s="1"/>
  <c r="L762" i="1"/>
  <c r="O762" i="1" s="1"/>
  <c r="R762" i="1"/>
  <c r="T764" i="1"/>
  <c r="K785" i="1"/>
  <c r="N416" i="1"/>
  <c r="N494" i="1"/>
  <c r="N493" i="1" s="1"/>
  <c r="N499" i="1"/>
  <c r="Q561" i="1"/>
  <c r="T561" i="1" s="1"/>
  <c r="O580" i="1"/>
  <c r="O583" i="1"/>
  <c r="O603" i="1"/>
  <c r="Q619" i="1"/>
  <c r="Q622" i="1"/>
  <c r="T622" i="1" s="1"/>
  <c r="T695" i="1"/>
  <c r="N691" i="1"/>
  <c r="Q716" i="1"/>
  <c r="T716" i="1" s="1"/>
  <c r="M731" i="1"/>
  <c r="P731" i="1" s="1"/>
  <c r="Q731" i="1"/>
  <c r="L419" i="1"/>
  <c r="O419" i="1" s="1"/>
  <c r="J425" i="1"/>
  <c r="L540" i="1"/>
  <c r="O540" i="1" s="1"/>
  <c r="S540" i="1"/>
  <c r="M561" i="1"/>
  <c r="P561" i="1" s="1"/>
  <c r="N578" i="1"/>
  <c r="S579" i="1"/>
  <c r="R579" i="1"/>
  <c r="U579" i="1" s="1"/>
  <c r="Q582" i="1"/>
  <c r="T582" i="1" s="1"/>
  <c r="R582" i="1"/>
  <c r="U582" i="1" s="1"/>
  <c r="M601" i="1"/>
  <c r="P601" i="1" s="1"/>
  <c r="N602" i="1"/>
  <c r="R602" i="1"/>
  <c r="U602" i="1" s="1"/>
  <c r="N643" i="1"/>
  <c r="N642" i="1" s="1"/>
  <c r="N645" i="1"/>
  <c r="R645" i="1"/>
  <c r="Q693" i="1"/>
  <c r="Q696" i="1"/>
  <c r="T696" i="1" s="1"/>
  <c r="K689" i="1"/>
  <c r="L715" i="1"/>
  <c r="O715" i="1" s="1"/>
  <c r="M717" i="1"/>
  <c r="P717" i="1" s="1"/>
  <c r="K386" i="1"/>
  <c r="Q419" i="1"/>
  <c r="T419" i="1" s="1"/>
  <c r="M514" i="1"/>
  <c r="M519" i="1"/>
  <c r="P519" i="1" s="1"/>
  <c r="N535" i="1"/>
  <c r="N534" i="1" s="1"/>
  <c r="S537" i="1"/>
  <c r="T624" i="1"/>
  <c r="O643" i="1"/>
  <c r="Q691" i="1"/>
  <c r="M715" i="1"/>
  <c r="Q730" i="1"/>
  <c r="R731" i="1"/>
  <c r="N766" i="1"/>
  <c r="O74" i="1"/>
  <c r="Q47" i="1"/>
  <c r="T47" i="1" s="1"/>
  <c r="Q50" i="1"/>
  <c r="T50" i="1" s="1"/>
  <c r="L46" i="1"/>
  <c r="R46" i="1"/>
  <c r="R97" i="1"/>
  <c r="U97" i="1" s="1"/>
  <c r="U98" i="1"/>
  <c r="R22" i="1"/>
  <c r="L26" i="1"/>
  <c r="U49" i="1"/>
  <c r="U52" i="1"/>
  <c r="U64" i="1"/>
  <c r="U67" i="1"/>
  <c r="R78" i="1"/>
  <c r="U78" i="1" s="1"/>
  <c r="U80" i="1"/>
  <c r="L97" i="1"/>
  <c r="O97" i="1" s="1"/>
  <c r="O98" i="1"/>
  <c r="L22" i="1"/>
  <c r="P98" i="1"/>
  <c r="M97" i="1"/>
  <c r="P97" i="1" s="1"/>
  <c r="M62" i="1"/>
  <c r="M65" i="1"/>
  <c r="P65" i="1" s="1"/>
  <c r="M73" i="1"/>
  <c r="M75" i="1"/>
  <c r="P75" i="1" s="1"/>
  <c r="L78" i="1"/>
  <c r="O78" i="1" s="1"/>
  <c r="O80" i="1"/>
  <c r="O95" i="1"/>
  <c r="Q23" i="1"/>
  <c r="M95" i="1"/>
  <c r="Q62" i="1"/>
  <c r="T62" i="1" s="1"/>
  <c r="M22" i="1"/>
  <c r="S25" i="1"/>
  <c r="Q46" i="1"/>
  <c r="Q61" i="1"/>
  <c r="Q65" i="1"/>
  <c r="T65" i="1" s="1"/>
  <c r="R75" i="1"/>
  <c r="U77" i="1"/>
  <c r="J82" i="1"/>
  <c r="L61" i="1"/>
  <c r="P66" i="1"/>
  <c r="L75" i="1"/>
  <c r="O75" i="1" s="1"/>
  <c r="O77" i="1"/>
  <c r="L23" i="1"/>
  <c r="Q78" i="1"/>
  <c r="T78" i="1" s="1"/>
  <c r="T80" i="1"/>
  <c r="R95" i="1"/>
  <c r="N23" i="1"/>
  <c r="L25" i="1"/>
  <c r="R25" i="1"/>
  <c r="N26" i="1"/>
  <c r="M100" i="1"/>
  <c r="P100" i="1" s="1"/>
  <c r="O101" i="1"/>
  <c r="U101" i="1"/>
  <c r="T122" i="1"/>
  <c r="T125" i="1"/>
  <c r="J137" i="1"/>
  <c r="K137" i="1" s="1"/>
  <c r="M142" i="1"/>
  <c r="O143" i="1"/>
  <c r="U143" i="1"/>
  <c r="M145" i="1"/>
  <c r="P145" i="1" s="1"/>
  <c r="O146" i="1"/>
  <c r="U146" i="1"/>
  <c r="L160" i="1"/>
  <c r="R160" i="1"/>
  <c r="U160" i="1" s="1"/>
  <c r="T161" i="1"/>
  <c r="L163" i="1"/>
  <c r="O163" i="1" s="1"/>
  <c r="R163" i="1"/>
  <c r="U163" i="1" s="1"/>
  <c r="T164" i="1"/>
  <c r="P177" i="1"/>
  <c r="P180" i="1"/>
  <c r="M189" i="1"/>
  <c r="O190" i="1"/>
  <c r="U190" i="1"/>
  <c r="M192" i="1"/>
  <c r="P192" i="1" s="1"/>
  <c r="O193" i="1"/>
  <c r="U193" i="1"/>
  <c r="I221" i="1"/>
  <c r="K221" i="1" s="1"/>
  <c r="Q267" i="1"/>
  <c r="M268" i="1"/>
  <c r="S268" i="1"/>
  <c r="U271" i="1"/>
  <c r="O286" i="1"/>
  <c r="R288" i="1"/>
  <c r="U288" i="1" s="1"/>
  <c r="T290" i="1"/>
  <c r="K295" i="1"/>
  <c r="S306" i="1"/>
  <c r="P308" i="1"/>
  <c r="M309" i="1"/>
  <c r="P309" i="1" s="1"/>
  <c r="M323" i="1"/>
  <c r="P324" i="1"/>
  <c r="O122" i="1"/>
  <c r="U122" i="1"/>
  <c r="O125" i="1"/>
  <c r="U125" i="1"/>
  <c r="Q272" i="1"/>
  <c r="T272" i="1" s="1"/>
  <c r="T273" i="1"/>
  <c r="Q306" i="1"/>
  <c r="T307" i="1"/>
  <c r="I138" i="1"/>
  <c r="K138" i="1" s="1"/>
  <c r="I213" i="1"/>
  <c r="K213" i="1" s="1"/>
  <c r="S269" i="1"/>
  <c r="K280" i="1"/>
  <c r="K292" i="1"/>
  <c r="I281" i="1"/>
  <c r="K281" i="1" s="1"/>
  <c r="O310" i="1"/>
  <c r="S321" i="1"/>
  <c r="S320" i="1" s="1"/>
  <c r="M326" i="1"/>
  <c r="P326" i="1" s="1"/>
  <c r="P327" i="1"/>
  <c r="Q176" i="1"/>
  <c r="T176" i="1" s="1"/>
  <c r="I202" i="1"/>
  <c r="K202" i="1" s="1"/>
  <c r="P305" i="1"/>
  <c r="U308" i="1"/>
  <c r="L283" i="1"/>
  <c r="N288" i="1"/>
  <c r="T304" i="1"/>
  <c r="Q309" i="1"/>
  <c r="T309" i="1" s="1"/>
  <c r="T310" i="1"/>
  <c r="I195" i="1"/>
  <c r="K195" i="1" s="1"/>
  <c r="L268" i="1"/>
  <c r="O268" i="1" s="1"/>
  <c r="L269" i="1"/>
  <c r="O269" i="1" s="1"/>
  <c r="O273" i="1"/>
  <c r="Q284" i="1"/>
  <c r="N285" i="1"/>
  <c r="L304" i="1"/>
  <c r="R304" i="1"/>
  <c r="O307" i="1"/>
  <c r="O308" i="1"/>
  <c r="P337" i="1"/>
  <c r="P340" i="1"/>
  <c r="U358" i="1"/>
  <c r="Q359" i="1"/>
  <c r="T359" i="1" s="1"/>
  <c r="O361" i="1"/>
  <c r="U361" i="1"/>
  <c r="O364" i="1"/>
  <c r="U364" i="1"/>
  <c r="O379" i="1"/>
  <c r="U379" i="1"/>
  <c r="O382" i="1"/>
  <c r="U382" i="1"/>
  <c r="L393" i="1"/>
  <c r="R393" i="1"/>
  <c r="L395" i="1"/>
  <c r="O395" i="1" s="1"/>
  <c r="S395" i="1"/>
  <c r="U396" i="1"/>
  <c r="R414" i="1"/>
  <c r="S416" i="1"/>
  <c r="Q499" i="1"/>
  <c r="T499" i="1" s="1"/>
  <c r="K492" i="1"/>
  <c r="J332" i="1"/>
  <c r="K332" i="1" s="1"/>
  <c r="J365" i="1"/>
  <c r="K365" i="1" s="1"/>
  <c r="N393" i="1"/>
  <c r="N392" i="1" s="1"/>
  <c r="Q394" i="1"/>
  <c r="Q395" i="1"/>
  <c r="T395" i="1" s="1"/>
  <c r="T399" i="1"/>
  <c r="L414" i="1"/>
  <c r="J468" i="1"/>
  <c r="J484" i="1"/>
  <c r="L394" i="1"/>
  <c r="O394" i="1" s="1"/>
  <c r="N414" i="1"/>
  <c r="M415" i="1"/>
  <c r="P415" i="1" s="1"/>
  <c r="S419" i="1"/>
  <c r="T420" i="1"/>
  <c r="J701" i="1"/>
  <c r="K705" i="1"/>
  <c r="J758" i="1"/>
  <c r="K758" i="1" s="1"/>
  <c r="K772" i="1"/>
  <c r="L561" i="1"/>
  <c r="O561" i="1" s="1"/>
  <c r="U620" i="1"/>
  <c r="R619" i="1"/>
  <c r="K703" i="1"/>
  <c r="I701" i="1"/>
  <c r="R720" i="1"/>
  <c r="U720" i="1" s="1"/>
  <c r="I759" i="1"/>
  <c r="K759" i="1" s="1"/>
  <c r="K774" i="1"/>
  <c r="K503" i="1"/>
  <c r="M535" i="1"/>
  <c r="S535" i="1"/>
  <c r="Q537" i="1"/>
  <c r="T537" i="1" s="1"/>
  <c r="U538" i="1"/>
  <c r="R540" i="1"/>
  <c r="U540" i="1" s="1"/>
  <c r="N556" i="1"/>
  <c r="Q557" i="1"/>
  <c r="M602" i="1"/>
  <c r="P602" i="1" s="1"/>
  <c r="O620" i="1"/>
  <c r="L619" i="1"/>
  <c r="O619" i="1" s="1"/>
  <c r="M645" i="1"/>
  <c r="P645" i="1" s="1"/>
  <c r="R692" i="1"/>
  <c r="R696" i="1"/>
  <c r="U696" i="1" s="1"/>
  <c r="K709" i="1"/>
  <c r="R716" i="1"/>
  <c r="R717" i="1"/>
  <c r="U717" i="1" s="1"/>
  <c r="L720" i="1"/>
  <c r="O720" i="1" s="1"/>
  <c r="Q516" i="1"/>
  <c r="T516" i="1" s="1"/>
  <c r="Q519" i="1"/>
  <c r="T519" i="1" s="1"/>
  <c r="L537" i="1"/>
  <c r="O537" i="1" s="1"/>
  <c r="N618" i="1"/>
  <c r="L692" i="1"/>
  <c r="L716" i="1"/>
  <c r="K746" i="1"/>
  <c r="J726" i="1"/>
  <c r="K726" i="1" s="1"/>
  <c r="L763" i="1"/>
  <c r="O763" i="1" s="1"/>
  <c r="N763" i="1"/>
  <c r="M416" i="1"/>
  <c r="P416" i="1" s="1"/>
  <c r="M419" i="1"/>
  <c r="P419" i="1" s="1"/>
  <c r="L516" i="1"/>
  <c r="O516" i="1" s="1"/>
  <c r="R516" i="1"/>
  <c r="U516" i="1" s="1"/>
  <c r="L519" i="1"/>
  <c r="R519" i="1"/>
  <c r="U519" i="1" s="1"/>
  <c r="Q536" i="1"/>
  <c r="T536" i="1" s="1"/>
  <c r="M537" i="1"/>
  <c r="P537" i="1" s="1"/>
  <c r="Q540" i="1"/>
  <c r="T540" i="1" s="1"/>
  <c r="L557" i="1"/>
  <c r="O557" i="1" s="1"/>
  <c r="R558" i="1"/>
  <c r="U558" i="1" s="1"/>
  <c r="Q578" i="1"/>
  <c r="S600" i="1"/>
  <c r="S599" i="1" s="1"/>
  <c r="Q601" i="1"/>
  <c r="Q602" i="1"/>
  <c r="T602" i="1" s="1"/>
  <c r="M605" i="1"/>
  <c r="P605" i="1" s="1"/>
  <c r="R617" i="1"/>
  <c r="U623" i="1"/>
  <c r="R622" i="1"/>
  <c r="U622" i="1" s="1"/>
  <c r="S643" i="1"/>
  <c r="Q644" i="1"/>
  <c r="Q645" i="1"/>
  <c r="J682" i="1"/>
  <c r="L761" i="1"/>
  <c r="K781" i="1"/>
  <c r="R536" i="1"/>
  <c r="U536" i="1" s="1"/>
  <c r="O541" i="1"/>
  <c r="R561" i="1"/>
  <c r="U561" i="1" s="1"/>
  <c r="M577" i="1"/>
  <c r="Q579" i="1"/>
  <c r="T579" i="1" s="1"/>
  <c r="M582" i="1"/>
  <c r="P582" i="1" s="1"/>
  <c r="M600" i="1"/>
  <c r="L617" i="1"/>
  <c r="O623" i="1"/>
  <c r="L622" i="1"/>
  <c r="O622" i="1" s="1"/>
  <c r="M643" i="1"/>
  <c r="K707" i="1"/>
  <c r="L717" i="1"/>
  <c r="O717" i="1" s="1"/>
  <c r="L730" i="1"/>
  <c r="L734" i="1"/>
  <c r="O734" i="1" s="1"/>
  <c r="K744" i="1"/>
  <c r="K779" i="1"/>
  <c r="I615" i="1"/>
  <c r="M763" i="1"/>
  <c r="P763" i="1" s="1"/>
  <c r="M766" i="1"/>
  <c r="P766" i="1" s="1"/>
  <c r="T733" i="1"/>
  <c r="T736" i="1"/>
  <c r="U690" i="9" l="1"/>
  <c r="U378" i="1"/>
  <c r="T378" i="1"/>
  <c r="S303" i="1"/>
  <c r="O142" i="1"/>
  <c r="S157" i="1"/>
  <c r="U728" i="15"/>
  <c r="P322" i="1"/>
  <c r="I185" i="14"/>
  <c r="K185" i="14" s="1"/>
  <c r="U619" i="1"/>
  <c r="T619" i="1"/>
  <c r="T21" i="15"/>
  <c r="S392" i="1"/>
  <c r="U493" i="13"/>
  <c r="U94" i="14"/>
  <c r="U186" i="8"/>
  <c r="U21" i="15"/>
  <c r="P46" i="6"/>
  <c r="O21" i="15"/>
  <c r="U189" i="5"/>
  <c r="T21" i="14"/>
  <c r="P18" i="15"/>
  <c r="Q18" i="15"/>
  <c r="T18" i="15" s="1"/>
  <c r="N40" i="15"/>
  <c r="P72" i="15"/>
  <c r="T690" i="14"/>
  <c r="U20" i="15"/>
  <c r="R18" i="15"/>
  <c r="U18" i="15" s="1"/>
  <c r="O20" i="15"/>
  <c r="L18" i="15"/>
  <c r="O18" i="15" s="1"/>
  <c r="T760" i="12"/>
  <c r="K231" i="15"/>
  <c r="I185" i="15"/>
  <c r="K185" i="15" s="1"/>
  <c r="M40" i="15"/>
  <c r="P44" i="15"/>
  <c r="P59" i="14"/>
  <c r="O59" i="14"/>
  <c r="U21" i="14"/>
  <c r="P320" i="15"/>
  <c r="P59" i="15"/>
  <c r="U21" i="12"/>
  <c r="P21" i="15"/>
  <c r="U117" i="7"/>
  <c r="L40" i="15"/>
  <c r="P20" i="15"/>
  <c r="O21" i="14"/>
  <c r="T21" i="12"/>
  <c r="O20" i="13"/>
  <c r="R18" i="13"/>
  <c r="U18" i="13" s="1"/>
  <c r="U20" i="14"/>
  <c r="R18" i="14"/>
  <c r="U18" i="14" s="1"/>
  <c r="T21" i="13"/>
  <c r="P18" i="13"/>
  <c r="L40" i="14"/>
  <c r="O40" i="14" s="1"/>
  <c r="O20" i="14"/>
  <c r="L18" i="14"/>
  <c r="O18" i="14" s="1"/>
  <c r="P21" i="14"/>
  <c r="P269" i="1"/>
  <c r="T20" i="14"/>
  <c r="Q18" i="14"/>
  <c r="T18" i="14" s="1"/>
  <c r="M40" i="14"/>
  <c r="P40" i="14" s="1"/>
  <c r="P44" i="14"/>
  <c r="P18" i="14"/>
  <c r="P20" i="14"/>
  <c r="T20" i="13"/>
  <c r="Q18" i="13"/>
  <c r="T18" i="13" s="1"/>
  <c r="U616" i="11"/>
  <c r="P18" i="12"/>
  <c r="L40" i="13"/>
  <c r="O40" i="13" s="1"/>
  <c r="O44" i="13"/>
  <c r="U21" i="13"/>
  <c r="K231" i="13"/>
  <c r="I185" i="13"/>
  <c r="K185" i="13" s="1"/>
  <c r="P21" i="13"/>
  <c r="L18" i="13"/>
  <c r="O18" i="13" s="1"/>
  <c r="P21" i="12"/>
  <c r="M40" i="13"/>
  <c r="P40" i="13" s="1"/>
  <c r="P44" i="13"/>
  <c r="T377" i="4"/>
  <c r="P20" i="13"/>
  <c r="O356" i="12"/>
  <c r="T21" i="8"/>
  <c r="M40" i="12"/>
  <c r="P44" i="12"/>
  <c r="U20" i="12"/>
  <c r="R18" i="12"/>
  <c r="U18" i="12" s="1"/>
  <c r="K231" i="12"/>
  <c r="I185" i="12"/>
  <c r="K185" i="12" s="1"/>
  <c r="O20" i="12"/>
  <c r="L18" i="12"/>
  <c r="O18" i="12" s="1"/>
  <c r="L40" i="12"/>
  <c r="N40" i="12"/>
  <c r="P21" i="9"/>
  <c r="O21" i="12"/>
  <c r="P20" i="12"/>
  <c r="T20" i="12"/>
  <c r="Q18" i="12"/>
  <c r="T18" i="12" s="1"/>
  <c r="P59" i="10"/>
  <c r="L18" i="11"/>
  <c r="O18" i="11" s="1"/>
  <c r="Q18" i="11"/>
  <c r="T18" i="11" s="1"/>
  <c r="L139" i="6"/>
  <c r="O139" i="6" s="1"/>
  <c r="M40" i="11"/>
  <c r="P40" i="11" s="1"/>
  <c r="L282" i="6"/>
  <c r="O282" i="6" s="1"/>
  <c r="T72" i="9"/>
  <c r="T119" i="5"/>
  <c r="P20" i="10"/>
  <c r="L40" i="11"/>
  <c r="O40" i="11" s="1"/>
  <c r="K231" i="11"/>
  <c r="I185" i="11"/>
  <c r="K185" i="11" s="1"/>
  <c r="U20" i="11"/>
  <c r="R18" i="11"/>
  <c r="U18" i="11" s="1"/>
  <c r="T21" i="11"/>
  <c r="P20" i="11"/>
  <c r="M18" i="11"/>
  <c r="P18" i="11" s="1"/>
  <c r="P72" i="9"/>
  <c r="O21" i="10"/>
  <c r="L513" i="6"/>
  <c r="O513" i="6" s="1"/>
  <c r="R375" i="5"/>
  <c r="U375" i="5" s="1"/>
  <c r="N40" i="9"/>
  <c r="M513" i="6"/>
  <c r="P513" i="6" s="1"/>
  <c r="T21" i="10"/>
  <c r="T20" i="10"/>
  <c r="Q18" i="10"/>
  <c r="T18" i="10" s="1"/>
  <c r="N40" i="10"/>
  <c r="U20" i="10"/>
  <c r="R18" i="10"/>
  <c r="U18" i="10" s="1"/>
  <c r="K231" i="10"/>
  <c r="I185" i="10"/>
  <c r="K185" i="10" s="1"/>
  <c r="M18" i="10"/>
  <c r="P18" i="10" s="1"/>
  <c r="U21" i="10"/>
  <c r="O303" i="9"/>
  <c r="T760" i="10"/>
  <c r="M40" i="10"/>
  <c r="P44" i="10"/>
  <c r="O20" i="10"/>
  <c r="L18" i="10"/>
  <c r="O18" i="10" s="1"/>
  <c r="P359" i="6"/>
  <c r="O356" i="10"/>
  <c r="L40" i="10"/>
  <c r="P21" i="10"/>
  <c r="O336" i="6"/>
  <c r="P268" i="6"/>
  <c r="K701" i="5"/>
  <c r="T378" i="6"/>
  <c r="P20" i="9"/>
  <c r="M18" i="9"/>
  <c r="P18" i="9" s="1"/>
  <c r="R375" i="6"/>
  <c r="U375" i="6" s="1"/>
  <c r="U21" i="9"/>
  <c r="T21" i="9"/>
  <c r="L40" i="9"/>
  <c r="O44" i="9"/>
  <c r="O20" i="9"/>
  <c r="L18" i="9"/>
  <c r="O18" i="9" s="1"/>
  <c r="L303" i="3"/>
  <c r="O303" i="3" s="1"/>
  <c r="Q18" i="9"/>
  <c r="T18" i="9" s="1"/>
  <c r="T20" i="9"/>
  <c r="P268" i="3"/>
  <c r="T269" i="6"/>
  <c r="M40" i="9"/>
  <c r="P44" i="9"/>
  <c r="R18" i="9"/>
  <c r="U18" i="9" s="1"/>
  <c r="K231" i="9"/>
  <c r="I185" i="9"/>
  <c r="K185" i="9" s="1"/>
  <c r="P323" i="1"/>
  <c r="L94" i="6"/>
  <c r="O94" i="6" s="1"/>
  <c r="L320" i="6"/>
  <c r="O320" i="6" s="1"/>
  <c r="Q157" i="1"/>
  <c r="T157" i="1" s="1"/>
  <c r="I70" i="3"/>
  <c r="K70" i="3" s="1"/>
  <c r="T693" i="4"/>
  <c r="P141" i="5"/>
  <c r="R18" i="8"/>
  <c r="U18" i="8" s="1"/>
  <c r="U619" i="5"/>
  <c r="I70" i="6"/>
  <c r="K70" i="6" s="1"/>
  <c r="I412" i="6"/>
  <c r="K412" i="6" s="1"/>
  <c r="T730" i="6"/>
  <c r="U619" i="6"/>
  <c r="N40" i="7"/>
  <c r="P356" i="8"/>
  <c r="T75" i="3"/>
  <c r="T730" i="5"/>
  <c r="T97" i="6"/>
  <c r="P336" i="6"/>
  <c r="T496" i="1"/>
  <c r="O62" i="3"/>
  <c r="M282" i="6"/>
  <c r="P282" i="6" s="1"/>
  <c r="T728" i="6"/>
  <c r="K332" i="6"/>
  <c r="M320" i="6"/>
  <c r="P320" i="6" s="1"/>
  <c r="Q760" i="6"/>
  <c r="T760" i="6" s="1"/>
  <c r="Q18" i="7"/>
  <c r="T18" i="7" s="1"/>
  <c r="T186" i="4"/>
  <c r="M157" i="5"/>
  <c r="P157" i="5" s="1"/>
  <c r="T496" i="2"/>
  <c r="M282" i="2"/>
  <c r="P282" i="2" s="1"/>
  <c r="U731" i="2"/>
  <c r="T120" i="3"/>
  <c r="O335" i="4"/>
  <c r="M44" i="6"/>
  <c r="P44" i="6" s="1"/>
  <c r="U94" i="6"/>
  <c r="R413" i="6"/>
  <c r="U413" i="6" s="1"/>
  <c r="L40" i="8"/>
  <c r="O44" i="8"/>
  <c r="K231" i="8"/>
  <c r="I185" i="8"/>
  <c r="K185" i="8" s="1"/>
  <c r="O285" i="1"/>
  <c r="L642" i="1"/>
  <c r="O642" i="1" s="1"/>
  <c r="P47" i="3"/>
  <c r="T763" i="4"/>
  <c r="M117" i="6"/>
  <c r="P117" i="6" s="1"/>
  <c r="U269" i="6"/>
  <c r="N40" i="8"/>
  <c r="M40" i="8"/>
  <c r="P44" i="8"/>
  <c r="P20" i="8"/>
  <c r="M18" i="8"/>
  <c r="P18" i="8" s="1"/>
  <c r="L157" i="4"/>
  <c r="O157" i="4" s="1"/>
  <c r="Q642" i="4"/>
  <c r="T642" i="4" s="1"/>
  <c r="U762" i="5"/>
  <c r="L266" i="6"/>
  <c r="O266" i="6" s="1"/>
  <c r="K374" i="6"/>
  <c r="O358" i="6"/>
  <c r="U731" i="6"/>
  <c r="T20" i="8"/>
  <c r="Q18" i="8"/>
  <c r="T18" i="8" s="1"/>
  <c r="P21" i="8"/>
  <c r="K83" i="5"/>
  <c r="S375" i="5"/>
  <c r="T375" i="5" s="1"/>
  <c r="U266" i="7"/>
  <c r="O20" i="8"/>
  <c r="L18" i="8"/>
  <c r="O18" i="8" s="1"/>
  <c r="U496" i="1"/>
  <c r="U692" i="5"/>
  <c r="O335" i="6"/>
  <c r="Q303" i="6"/>
  <c r="T303" i="6" s="1"/>
  <c r="L356" i="6"/>
  <c r="O356" i="6" s="1"/>
  <c r="K632" i="1"/>
  <c r="O186" i="4"/>
  <c r="U120" i="5"/>
  <c r="L117" i="5"/>
  <c r="O117" i="5" s="1"/>
  <c r="K374" i="5"/>
  <c r="Q413" i="6"/>
  <c r="T413" i="6" s="1"/>
  <c r="P335" i="6"/>
  <c r="U97" i="6"/>
  <c r="U760" i="4"/>
  <c r="O173" i="6"/>
  <c r="T619" i="3"/>
  <c r="T306" i="5"/>
  <c r="O47" i="6"/>
  <c r="L40" i="7"/>
  <c r="O40" i="7" s="1"/>
  <c r="P173" i="2"/>
  <c r="O20" i="7"/>
  <c r="L18" i="7"/>
  <c r="O18" i="7" s="1"/>
  <c r="O21" i="7"/>
  <c r="U20" i="7"/>
  <c r="R18" i="7"/>
  <c r="U18" i="7" s="1"/>
  <c r="T21" i="7"/>
  <c r="M40" i="7"/>
  <c r="P44" i="7"/>
  <c r="P18" i="7"/>
  <c r="K231" i="7"/>
  <c r="I185" i="7"/>
  <c r="K185" i="7" s="1"/>
  <c r="U21" i="7"/>
  <c r="M24" i="6"/>
  <c r="P24" i="6" s="1"/>
  <c r="L157" i="6"/>
  <c r="O157" i="6" s="1"/>
  <c r="Q642" i="6"/>
  <c r="T642" i="6" s="1"/>
  <c r="P20" i="7"/>
  <c r="O74" i="6"/>
  <c r="L72" i="6"/>
  <c r="O72" i="6" s="1"/>
  <c r="T495" i="6"/>
  <c r="Q493" i="6"/>
  <c r="T493" i="6" s="1"/>
  <c r="R303" i="5"/>
  <c r="U303" i="5" s="1"/>
  <c r="Q413" i="5"/>
  <c r="T413" i="5" s="1"/>
  <c r="P176" i="6"/>
  <c r="O176" i="6"/>
  <c r="K374" i="3"/>
  <c r="O305" i="4"/>
  <c r="M94" i="6"/>
  <c r="P94" i="6" s="1"/>
  <c r="P96" i="6"/>
  <c r="O305" i="6"/>
  <c r="L303" i="6"/>
  <c r="O303" i="6" s="1"/>
  <c r="O323" i="1"/>
  <c r="S375" i="2"/>
  <c r="T375" i="2" s="1"/>
  <c r="K423" i="4"/>
  <c r="T269" i="3"/>
  <c r="O61" i="4"/>
  <c r="U269" i="4"/>
  <c r="U306" i="4"/>
  <c r="M117" i="5"/>
  <c r="P117" i="5" s="1"/>
  <c r="T189" i="5"/>
  <c r="P358" i="5"/>
  <c r="R157" i="6"/>
  <c r="U157" i="6" s="1"/>
  <c r="M139" i="6"/>
  <c r="P139" i="6" s="1"/>
  <c r="P269" i="6"/>
  <c r="Q94" i="6"/>
  <c r="T94" i="6" s="1"/>
  <c r="T120" i="6"/>
  <c r="L282" i="5"/>
  <c r="O282" i="5" s="1"/>
  <c r="T159" i="5"/>
  <c r="R493" i="5"/>
  <c r="U493" i="5" s="1"/>
  <c r="P61" i="6"/>
  <c r="U763" i="4"/>
  <c r="U19" i="6"/>
  <c r="U693" i="1"/>
  <c r="P176" i="1"/>
  <c r="S18" i="5"/>
  <c r="M303" i="5"/>
  <c r="P303" i="5" s="1"/>
  <c r="T120" i="5"/>
  <c r="O188" i="6"/>
  <c r="L186" i="6"/>
  <c r="O186" i="6" s="1"/>
  <c r="I231" i="6"/>
  <c r="U618" i="4"/>
  <c r="O46" i="5"/>
  <c r="M94" i="5"/>
  <c r="P94" i="5" s="1"/>
  <c r="S21" i="5"/>
  <c r="R157" i="5"/>
  <c r="U157" i="5" s="1"/>
  <c r="U306" i="5"/>
  <c r="Q642" i="5"/>
  <c r="T642" i="5" s="1"/>
  <c r="T141" i="6"/>
  <c r="Q139" i="6"/>
  <c r="T139" i="6" s="1"/>
  <c r="L24" i="6"/>
  <c r="O24" i="6" s="1"/>
  <c r="L333" i="6"/>
  <c r="O333" i="6" s="1"/>
  <c r="P188" i="6"/>
  <c r="M186" i="6"/>
  <c r="P186" i="6" s="1"/>
  <c r="Q616" i="6"/>
  <c r="T616" i="6" s="1"/>
  <c r="S21" i="6"/>
  <c r="Q375" i="6"/>
  <c r="T375" i="6" s="1"/>
  <c r="P358" i="6"/>
  <c r="M356" i="6"/>
  <c r="P356" i="6" s="1"/>
  <c r="O335" i="3"/>
  <c r="U616" i="5"/>
  <c r="Q72" i="5"/>
  <c r="T72" i="5" s="1"/>
  <c r="M59" i="6"/>
  <c r="P59" i="6" s="1"/>
  <c r="S18" i="6"/>
  <c r="R728" i="6"/>
  <c r="U728" i="6" s="1"/>
  <c r="P186" i="3"/>
  <c r="M303" i="4"/>
  <c r="P303" i="4" s="1"/>
  <c r="Q186" i="5"/>
  <c r="T186" i="5" s="1"/>
  <c r="L513" i="5"/>
  <c r="O513" i="5" s="1"/>
  <c r="M356" i="5"/>
  <c r="P356" i="5" s="1"/>
  <c r="P268" i="5"/>
  <c r="P23" i="6"/>
  <c r="M20" i="6"/>
  <c r="P159" i="6"/>
  <c r="M157" i="6"/>
  <c r="P157" i="6" s="1"/>
  <c r="R117" i="6"/>
  <c r="U117" i="6" s="1"/>
  <c r="L44" i="6"/>
  <c r="O46" i="6"/>
  <c r="R139" i="6"/>
  <c r="U139" i="6" s="1"/>
  <c r="U141" i="6"/>
  <c r="M72" i="6"/>
  <c r="P72" i="6" s="1"/>
  <c r="P173" i="6"/>
  <c r="M266" i="6"/>
  <c r="P266" i="6" s="1"/>
  <c r="M303" i="6"/>
  <c r="P303" i="6" s="1"/>
  <c r="P305" i="6"/>
  <c r="M333" i="6"/>
  <c r="P333" i="6" s="1"/>
  <c r="O175" i="6"/>
  <c r="S266" i="6"/>
  <c r="U266" i="6" s="1"/>
  <c r="K83" i="6"/>
  <c r="I71" i="6"/>
  <c r="K71" i="6" s="1"/>
  <c r="R493" i="6"/>
  <c r="U493" i="6" s="1"/>
  <c r="U495" i="6"/>
  <c r="O139" i="3"/>
  <c r="T269" i="5"/>
  <c r="L20" i="6"/>
  <c r="O23" i="6"/>
  <c r="O243" i="6"/>
  <c r="L232" i="6"/>
  <c r="R20" i="6"/>
  <c r="U20" i="6" s="1"/>
  <c r="U23" i="6"/>
  <c r="L21" i="6"/>
  <c r="N40" i="6"/>
  <c r="L59" i="6"/>
  <c r="O59" i="6" s="1"/>
  <c r="O61" i="6"/>
  <c r="U268" i="6"/>
  <c r="P335" i="2"/>
  <c r="T731" i="2"/>
  <c r="M94" i="3"/>
  <c r="P94" i="3" s="1"/>
  <c r="U693" i="3"/>
  <c r="R173" i="4"/>
  <c r="U173" i="4" s="1"/>
  <c r="L157" i="5"/>
  <c r="O157" i="5" s="1"/>
  <c r="T616" i="5"/>
  <c r="R186" i="5"/>
  <c r="U186" i="5" s="1"/>
  <c r="N21" i="6"/>
  <c r="P21" i="6" s="1"/>
  <c r="N20" i="6"/>
  <c r="N18" i="6" s="1"/>
  <c r="L117" i="6"/>
  <c r="O117" i="6" s="1"/>
  <c r="P175" i="6"/>
  <c r="Q20" i="6"/>
  <c r="T23" i="6"/>
  <c r="Q21" i="6"/>
  <c r="Q157" i="6"/>
  <c r="T157" i="6" s="1"/>
  <c r="T159" i="6"/>
  <c r="R21" i="6"/>
  <c r="R173" i="6"/>
  <c r="U173" i="6" s="1"/>
  <c r="T619" i="6"/>
  <c r="R760" i="6"/>
  <c r="U760" i="6" s="1"/>
  <c r="L320" i="5"/>
  <c r="O320" i="5" s="1"/>
  <c r="R728" i="2"/>
  <c r="U728" i="2" s="1"/>
  <c r="P141" i="3"/>
  <c r="K701" i="3"/>
  <c r="O74" i="4"/>
  <c r="K231" i="5"/>
  <c r="T692" i="5"/>
  <c r="M513" i="5"/>
  <c r="P513" i="5" s="1"/>
  <c r="T618" i="5"/>
  <c r="U618" i="5"/>
  <c r="L72" i="5"/>
  <c r="O72" i="5" s="1"/>
  <c r="T728" i="2"/>
  <c r="S303" i="3"/>
  <c r="U303" i="3" s="1"/>
  <c r="Q117" i="4"/>
  <c r="T117" i="4" s="1"/>
  <c r="T618" i="4"/>
  <c r="O173" i="5"/>
  <c r="U120" i="4"/>
  <c r="O175" i="5"/>
  <c r="T266" i="5"/>
  <c r="O305" i="5"/>
  <c r="L303" i="5"/>
  <c r="O303" i="5" s="1"/>
  <c r="U415" i="5"/>
  <c r="R413" i="5"/>
  <c r="U413" i="5" s="1"/>
  <c r="O188" i="4"/>
  <c r="R413" i="4"/>
  <c r="U413" i="4" s="1"/>
  <c r="P268" i="4"/>
  <c r="P159" i="4"/>
  <c r="U303" i="4"/>
  <c r="O61" i="5"/>
  <c r="P188" i="5"/>
  <c r="I70" i="5"/>
  <c r="K70" i="5" s="1"/>
  <c r="U266" i="5"/>
  <c r="L282" i="4"/>
  <c r="O282" i="4" s="1"/>
  <c r="K83" i="2"/>
  <c r="M157" i="2"/>
  <c r="P157" i="2" s="1"/>
  <c r="P188" i="4"/>
  <c r="K374" i="4"/>
  <c r="P142" i="5"/>
  <c r="K185" i="5"/>
  <c r="U731" i="5"/>
  <c r="L94" i="5"/>
  <c r="O94" i="5" s="1"/>
  <c r="R117" i="5"/>
  <c r="U117" i="5" s="1"/>
  <c r="T72" i="3"/>
  <c r="U141" i="3"/>
  <c r="K374" i="2"/>
  <c r="O59" i="4"/>
  <c r="Q493" i="4"/>
  <c r="T493" i="4" s="1"/>
  <c r="T120" i="4"/>
  <c r="L21" i="5"/>
  <c r="L20" i="5"/>
  <c r="L18" i="5" s="1"/>
  <c r="O23" i="5"/>
  <c r="R173" i="5"/>
  <c r="U173" i="5" s="1"/>
  <c r="N59" i="5"/>
  <c r="O59" i="5" s="1"/>
  <c r="T96" i="5"/>
  <c r="Q94" i="5"/>
  <c r="T94" i="5" s="1"/>
  <c r="Q728" i="5"/>
  <c r="T728" i="5" s="1"/>
  <c r="R139" i="5"/>
  <c r="U139" i="5" s="1"/>
  <c r="U141" i="5"/>
  <c r="O188" i="5"/>
  <c r="Q493" i="5"/>
  <c r="T493" i="5" s="1"/>
  <c r="T495" i="5"/>
  <c r="K332" i="3"/>
  <c r="P119" i="4"/>
  <c r="Q20" i="5"/>
  <c r="T20" i="5" s="1"/>
  <c r="T23" i="5"/>
  <c r="Q21" i="5"/>
  <c r="P19" i="5"/>
  <c r="Q303" i="5"/>
  <c r="T303" i="5" s="1"/>
  <c r="I412" i="5"/>
  <c r="K412" i="5" s="1"/>
  <c r="K423" i="5"/>
  <c r="T693" i="5"/>
  <c r="U693" i="5"/>
  <c r="U269" i="2"/>
  <c r="T158" i="1"/>
  <c r="O47" i="3"/>
  <c r="Q642" i="3"/>
  <c r="T642" i="3" s="1"/>
  <c r="O141" i="4"/>
  <c r="P46" i="4"/>
  <c r="I71" i="4"/>
  <c r="K71" i="4" s="1"/>
  <c r="L320" i="4"/>
  <c r="O320" i="4" s="1"/>
  <c r="S18" i="4"/>
  <c r="R493" i="4"/>
  <c r="U493" i="4" s="1"/>
  <c r="T730" i="4"/>
  <c r="U692" i="4"/>
  <c r="R21" i="5"/>
  <c r="R20" i="5"/>
  <c r="U20" i="5" s="1"/>
  <c r="U23" i="5"/>
  <c r="T19" i="5"/>
  <c r="O19" i="5"/>
  <c r="L139" i="5"/>
  <c r="O141" i="5"/>
  <c r="P335" i="5"/>
  <c r="N333" i="5"/>
  <c r="P333" i="5" s="1"/>
  <c r="M282" i="5"/>
  <c r="P282" i="5" s="1"/>
  <c r="P284" i="5"/>
  <c r="M24" i="5"/>
  <c r="P24" i="5" s="1"/>
  <c r="O335" i="5"/>
  <c r="S690" i="5"/>
  <c r="T690" i="5" s="1"/>
  <c r="L356" i="5"/>
  <c r="O356" i="5" s="1"/>
  <c r="O358" i="5"/>
  <c r="U644" i="5"/>
  <c r="R642" i="5"/>
  <c r="U642" i="5" s="1"/>
  <c r="M72" i="5"/>
  <c r="P72" i="5" s="1"/>
  <c r="P74" i="5"/>
  <c r="P175" i="5"/>
  <c r="M173" i="5"/>
  <c r="P173" i="5" s="1"/>
  <c r="U730" i="5"/>
  <c r="R728" i="5"/>
  <c r="U728" i="5" s="1"/>
  <c r="P322" i="5"/>
  <c r="M320" i="5"/>
  <c r="P320" i="5" s="1"/>
  <c r="P62" i="4"/>
  <c r="M303" i="2"/>
  <c r="P303" i="2" s="1"/>
  <c r="T760" i="2"/>
  <c r="P61" i="3"/>
  <c r="P61" i="4"/>
  <c r="T189" i="4"/>
  <c r="U189" i="4"/>
  <c r="K701" i="4"/>
  <c r="M44" i="5"/>
  <c r="P46" i="5"/>
  <c r="P23" i="5"/>
  <c r="M20" i="5"/>
  <c r="U19" i="5"/>
  <c r="N44" i="5"/>
  <c r="N186" i="5"/>
  <c r="P186" i="5" s="1"/>
  <c r="U269" i="5"/>
  <c r="M139" i="5"/>
  <c r="P139" i="5" s="1"/>
  <c r="M266" i="5"/>
  <c r="P266" i="5" s="1"/>
  <c r="I231" i="2"/>
  <c r="K231" i="2" s="1"/>
  <c r="T305" i="2"/>
  <c r="U618" i="2"/>
  <c r="P96" i="4"/>
  <c r="T616" i="4"/>
  <c r="M59" i="5"/>
  <c r="P61" i="5"/>
  <c r="N21" i="5"/>
  <c r="P21" i="5" s="1"/>
  <c r="N20" i="5"/>
  <c r="N18" i="5" s="1"/>
  <c r="L232" i="5"/>
  <c r="O243" i="5"/>
  <c r="L24" i="5"/>
  <c r="O24" i="5" s="1"/>
  <c r="O26" i="5"/>
  <c r="O268" i="5"/>
  <c r="L266" i="5"/>
  <c r="O266" i="5" s="1"/>
  <c r="T619" i="5"/>
  <c r="R375" i="2"/>
  <c r="U375" i="2" s="1"/>
  <c r="Q157" i="4"/>
  <c r="T157" i="4" s="1"/>
  <c r="M266" i="4"/>
  <c r="P266" i="4" s="1"/>
  <c r="T269" i="4"/>
  <c r="Q375" i="4"/>
  <c r="T375" i="4" s="1"/>
  <c r="O140" i="1"/>
  <c r="L266" i="3"/>
  <c r="O266" i="3" s="1"/>
  <c r="U305" i="3"/>
  <c r="L266" i="4"/>
  <c r="O266" i="4" s="1"/>
  <c r="M320" i="4"/>
  <c r="P320" i="4" s="1"/>
  <c r="R616" i="4"/>
  <c r="U616" i="4" s="1"/>
  <c r="U730" i="4"/>
  <c r="O139" i="1"/>
  <c r="N375" i="1"/>
  <c r="L117" i="2"/>
  <c r="O117" i="2" s="1"/>
  <c r="L72" i="2"/>
  <c r="O72" i="2" s="1"/>
  <c r="L94" i="3"/>
  <c r="O94" i="3" s="1"/>
  <c r="N333" i="4"/>
  <c r="O333" i="4" s="1"/>
  <c r="M72" i="4"/>
  <c r="P72" i="4" s="1"/>
  <c r="T306" i="4"/>
  <c r="T760" i="4"/>
  <c r="O96" i="4"/>
  <c r="L94" i="4"/>
  <c r="O94" i="4" s="1"/>
  <c r="J457" i="1"/>
  <c r="J456" i="1" s="1"/>
  <c r="L320" i="2"/>
  <c r="O320" i="2" s="1"/>
  <c r="S117" i="2"/>
  <c r="U117" i="2" s="1"/>
  <c r="L24" i="4"/>
  <c r="O24" i="4" s="1"/>
  <c r="R186" i="4"/>
  <c r="U186" i="4" s="1"/>
  <c r="L513" i="4"/>
  <c r="O513" i="4" s="1"/>
  <c r="U645" i="1"/>
  <c r="T119" i="2"/>
  <c r="P335" i="4"/>
  <c r="L117" i="4"/>
  <c r="O117" i="4" s="1"/>
  <c r="O322" i="3"/>
  <c r="L320" i="3"/>
  <c r="O320" i="3" s="1"/>
  <c r="L44" i="4"/>
  <c r="O46" i="4"/>
  <c r="L232" i="4"/>
  <c r="O243" i="4"/>
  <c r="I231" i="4"/>
  <c r="M186" i="1"/>
  <c r="P186" i="1" s="1"/>
  <c r="Q690" i="2"/>
  <c r="T690" i="2" s="1"/>
  <c r="Q139" i="2"/>
  <c r="T139" i="2" s="1"/>
  <c r="Q117" i="3"/>
  <c r="T117" i="3" s="1"/>
  <c r="P46" i="3"/>
  <c r="P142" i="3"/>
  <c r="O141" i="3"/>
  <c r="R20" i="4"/>
  <c r="U20" i="4" s="1"/>
  <c r="U23" i="4"/>
  <c r="N139" i="4"/>
  <c r="O139" i="4" s="1"/>
  <c r="P186" i="4"/>
  <c r="S21" i="4"/>
  <c r="U21" i="4" s="1"/>
  <c r="Q413" i="4"/>
  <c r="T413" i="4" s="1"/>
  <c r="T415" i="4"/>
  <c r="U728" i="4"/>
  <c r="L20" i="4"/>
  <c r="O23" i="4"/>
  <c r="L21" i="4"/>
  <c r="T645" i="1"/>
  <c r="M320" i="2"/>
  <c r="P320" i="2" s="1"/>
  <c r="K503" i="3"/>
  <c r="O142" i="4"/>
  <c r="M24" i="4"/>
  <c r="P24" i="4" s="1"/>
  <c r="P358" i="4"/>
  <c r="N356" i="4"/>
  <c r="P356" i="4" s="1"/>
  <c r="P141" i="4"/>
  <c r="M59" i="4"/>
  <c r="P59" i="4" s="1"/>
  <c r="L320" i="1"/>
  <c r="L24" i="3"/>
  <c r="O24" i="3" s="1"/>
  <c r="P188" i="3"/>
  <c r="L333" i="3"/>
  <c r="O333" i="3" s="1"/>
  <c r="T375" i="3"/>
  <c r="Q20" i="4"/>
  <c r="T23" i="4"/>
  <c r="Q21" i="4"/>
  <c r="P23" i="4"/>
  <c r="M20" i="4"/>
  <c r="K82" i="4"/>
  <c r="I70" i="4"/>
  <c r="K70" i="4" s="1"/>
  <c r="U159" i="4"/>
  <c r="R157" i="4"/>
  <c r="U157" i="4" s="1"/>
  <c r="M282" i="4"/>
  <c r="P282" i="4" s="1"/>
  <c r="M173" i="4"/>
  <c r="P173" i="4" s="1"/>
  <c r="P175" i="4"/>
  <c r="U266" i="4"/>
  <c r="O358" i="4"/>
  <c r="L356" i="4"/>
  <c r="O175" i="4"/>
  <c r="L173" i="4"/>
  <c r="O173" i="4" s="1"/>
  <c r="U19" i="4"/>
  <c r="N20" i="4"/>
  <c r="N18" i="4" s="1"/>
  <c r="Q186" i="1"/>
  <c r="T493" i="2"/>
  <c r="R117" i="3"/>
  <c r="U117" i="3" s="1"/>
  <c r="P322" i="3"/>
  <c r="R616" i="3"/>
  <c r="U616" i="3" s="1"/>
  <c r="O176" i="1"/>
  <c r="N21" i="4"/>
  <c r="P21" i="4" s="1"/>
  <c r="P44" i="4"/>
  <c r="Q94" i="4"/>
  <c r="T94" i="4" s="1"/>
  <c r="R375" i="4"/>
  <c r="U375" i="4" s="1"/>
  <c r="M513" i="4"/>
  <c r="P513" i="4" s="1"/>
  <c r="P515" i="4"/>
  <c r="U268" i="4"/>
  <c r="T268" i="4"/>
  <c r="T728" i="4"/>
  <c r="L232" i="2"/>
  <c r="U269" i="1"/>
  <c r="U618" i="1"/>
  <c r="N356" i="1"/>
  <c r="T618" i="1"/>
  <c r="U189" i="2"/>
  <c r="U266" i="2"/>
  <c r="L117" i="3"/>
  <c r="O117" i="3" s="1"/>
  <c r="U97" i="3"/>
  <c r="Q157" i="3"/>
  <c r="T157" i="3" s="1"/>
  <c r="L173" i="3"/>
  <c r="O173" i="3" s="1"/>
  <c r="T495" i="3"/>
  <c r="U731" i="3"/>
  <c r="Q690" i="3"/>
  <c r="T690" i="3" s="1"/>
  <c r="T693" i="1"/>
  <c r="I70" i="2"/>
  <c r="K70" i="2" s="1"/>
  <c r="R616" i="2"/>
  <c r="U616" i="2" s="1"/>
  <c r="Q413" i="2"/>
  <c r="T413" i="2" s="1"/>
  <c r="R642" i="2"/>
  <c r="U642" i="2" s="1"/>
  <c r="U75" i="3"/>
  <c r="O74" i="3"/>
  <c r="P356" i="3"/>
  <c r="Q616" i="3"/>
  <c r="T616" i="3" s="1"/>
  <c r="S94" i="1"/>
  <c r="T730" i="1"/>
  <c r="S616" i="1"/>
  <c r="O159" i="3"/>
  <c r="M266" i="3"/>
  <c r="P266" i="3" s="1"/>
  <c r="P358" i="3"/>
  <c r="U495" i="3"/>
  <c r="U377" i="3"/>
  <c r="O358" i="3"/>
  <c r="Q513" i="1"/>
  <c r="T513" i="1" s="1"/>
  <c r="N690" i="1"/>
  <c r="N599" i="1"/>
  <c r="T268" i="2"/>
  <c r="T189" i="2"/>
  <c r="U268" i="2"/>
  <c r="O243" i="2"/>
  <c r="U763" i="2"/>
  <c r="R157" i="3"/>
  <c r="U157" i="3" s="1"/>
  <c r="T189" i="3"/>
  <c r="P159" i="3"/>
  <c r="R72" i="3"/>
  <c r="U72" i="3" s="1"/>
  <c r="S94" i="3"/>
  <c r="U94" i="3" s="1"/>
  <c r="L186" i="3"/>
  <c r="O186" i="3" s="1"/>
  <c r="O188" i="3"/>
  <c r="I412" i="1"/>
  <c r="K412" i="1" s="1"/>
  <c r="R59" i="1"/>
  <c r="U59" i="1" s="1"/>
  <c r="N40" i="3"/>
  <c r="O72" i="3"/>
  <c r="O515" i="3"/>
  <c r="L513" i="3"/>
  <c r="O513" i="3" s="1"/>
  <c r="L282" i="3"/>
  <c r="O282" i="3" s="1"/>
  <c r="O284" i="3"/>
  <c r="Q728" i="3"/>
  <c r="T728" i="3" s="1"/>
  <c r="T730" i="3"/>
  <c r="U493" i="3"/>
  <c r="K626" i="1"/>
  <c r="N513" i="1"/>
  <c r="O358" i="2"/>
  <c r="K701" i="2"/>
  <c r="S20" i="3"/>
  <c r="S18" i="3" s="1"/>
  <c r="S21" i="3"/>
  <c r="L157" i="3"/>
  <c r="O157" i="3" s="1"/>
  <c r="P74" i="3"/>
  <c r="P23" i="3"/>
  <c r="M20" i="3"/>
  <c r="M18" i="3" s="1"/>
  <c r="M21" i="3"/>
  <c r="U23" i="3"/>
  <c r="R20" i="3"/>
  <c r="R18" i="3" s="1"/>
  <c r="M139" i="3"/>
  <c r="P139" i="3" s="1"/>
  <c r="Q20" i="3"/>
  <c r="Q21" i="3"/>
  <c r="T23" i="3"/>
  <c r="M282" i="3"/>
  <c r="P282" i="3" s="1"/>
  <c r="Q413" i="3"/>
  <c r="T413" i="3" s="1"/>
  <c r="M513" i="3"/>
  <c r="P513" i="3" s="1"/>
  <c r="P515" i="3"/>
  <c r="M44" i="3"/>
  <c r="R728" i="3"/>
  <c r="U728" i="3" s="1"/>
  <c r="N616" i="1"/>
  <c r="Q157" i="2"/>
  <c r="T157" i="2" s="1"/>
  <c r="N21" i="3"/>
  <c r="O21" i="3" s="1"/>
  <c r="N20" i="3"/>
  <c r="N18" i="3" s="1"/>
  <c r="M157" i="3"/>
  <c r="P157" i="3" s="1"/>
  <c r="R266" i="3"/>
  <c r="U266" i="3" s="1"/>
  <c r="L20" i="3"/>
  <c r="L18" i="3" s="1"/>
  <c r="O23" i="3"/>
  <c r="L303" i="2"/>
  <c r="O303" i="2" s="1"/>
  <c r="Q642" i="2"/>
  <c r="T642" i="2" s="1"/>
  <c r="S534" i="1"/>
  <c r="J458" i="1"/>
  <c r="L375" i="1"/>
  <c r="O375" i="1" s="1"/>
  <c r="R728" i="1"/>
  <c r="L157" i="2"/>
  <c r="O157" i="2" s="1"/>
  <c r="M303" i="1"/>
  <c r="P303" i="1" s="1"/>
  <c r="U693" i="2"/>
  <c r="M59" i="3"/>
  <c r="P59" i="3" s="1"/>
  <c r="Q173" i="3"/>
  <c r="T173" i="3" s="1"/>
  <c r="P19" i="3"/>
  <c r="U19" i="3"/>
  <c r="R186" i="3"/>
  <c r="U186" i="3" s="1"/>
  <c r="R760" i="3"/>
  <c r="U760" i="3" s="1"/>
  <c r="U762" i="3"/>
  <c r="P175" i="3"/>
  <c r="M173" i="3"/>
  <c r="P173" i="3" s="1"/>
  <c r="I231" i="3"/>
  <c r="K242" i="3"/>
  <c r="L232" i="3"/>
  <c r="O243" i="3"/>
  <c r="O519" i="1"/>
  <c r="O59" i="2"/>
  <c r="O359" i="3"/>
  <c r="T763" i="2"/>
  <c r="T97" i="3"/>
  <c r="U375" i="3"/>
  <c r="I71" i="3"/>
  <c r="K71" i="3" s="1"/>
  <c r="K83" i="3"/>
  <c r="T377" i="3"/>
  <c r="O19" i="3"/>
  <c r="Q493" i="1"/>
  <c r="T493" i="1" s="1"/>
  <c r="K615" i="1"/>
  <c r="N413" i="1"/>
  <c r="U61" i="1"/>
  <c r="P284" i="1"/>
  <c r="L44" i="3"/>
  <c r="O46" i="3"/>
  <c r="M72" i="3"/>
  <c r="P72" i="3" s="1"/>
  <c r="T96" i="3"/>
  <c r="T141" i="3"/>
  <c r="Q139" i="3"/>
  <c r="T139" i="3" s="1"/>
  <c r="M117" i="3"/>
  <c r="P117" i="3" s="1"/>
  <c r="R173" i="3"/>
  <c r="U173" i="3" s="1"/>
  <c r="P335" i="3"/>
  <c r="M333" i="3"/>
  <c r="P333" i="3" s="1"/>
  <c r="M320" i="3"/>
  <c r="P320" i="3" s="1"/>
  <c r="O61" i="3"/>
  <c r="L59" i="3"/>
  <c r="O59" i="3" s="1"/>
  <c r="U189" i="3"/>
  <c r="R21" i="3"/>
  <c r="T762" i="3"/>
  <c r="L356" i="3"/>
  <c r="O356" i="3" s="1"/>
  <c r="T693" i="3"/>
  <c r="M303" i="3"/>
  <c r="P303" i="3" s="1"/>
  <c r="M24" i="3"/>
  <c r="P24" i="3" s="1"/>
  <c r="O356" i="2"/>
  <c r="O141" i="2"/>
  <c r="M139" i="1"/>
  <c r="P139" i="1" s="1"/>
  <c r="T75" i="1"/>
  <c r="T96" i="1"/>
  <c r="N59" i="1"/>
  <c r="T303" i="1"/>
  <c r="N760" i="1"/>
  <c r="R157" i="2"/>
  <c r="U157" i="2" s="1"/>
  <c r="M333" i="2"/>
  <c r="P333" i="2" s="1"/>
  <c r="T186" i="2"/>
  <c r="T762" i="2"/>
  <c r="Q72" i="2"/>
  <c r="T72" i="2" s="1"/>
  <c r="I412" i="2"/>
  <c r="K412" i="2" s="1"/>
  <c r="K423" i="2"/>
  <c r="U306" i="1"/>
  <c r="U763" i="1"/>
  <c r="R173" i="1"/>
  <c r="U173" i="1" s="1"/>
  <c r="T120" i="1"/>
  <c r="Q266" i="2"/>
  <c r="T266" i="2" s="1"/>
  <c r="O515" i="2"/>
  <c r="R690" i="2"/>
  <c r="U690" i="2" s="1"/>
  <c r="U760" i="2"/>
  <c r="O46" i="2"/>
  <c r="P62" i="1"/>
  <c r="R356" i="1"/>
  <c r="U356" i="1" s="1"/>
  <c r="N266" i="1"/>
  <c r="S20" i="1"/>
  <c r="L576" i="1"/>
  <c r="O576" i="1" s="1"/>
  <c r="L94" i="2"/>
  <c r="O94" i="2" s="1"/>
  <c r="O61" i="2"/>
  <c r="P176" i="2"/>
  <c r="O188" i="2"/>
  <c r="L266" i="2"/>
  <c r="O266" i="2" s="1"/>
  <c r="T175" i="2"/>
  <c r="Q173" i="2"/>
  <c r="T173" i="2" s="1"/>
  <c r="O175" i="2"/>
  <c r="O160" i="1"/>
  <c r="R20" i="1"/>
  <c r="R642" i="1"/>
  <c r="U188" i="1"/>
  <c r="M24" i="2"/>
  <c r="P24" i="2" s="1"/>
  <c r="P175" i="2"/>
  <c r="R413" i="2"/>
  <c r="U413" i="2" s="1"/>
  <c r="N40" i="2"/>
  <c r="T19" i="2"/>
  <c r="T763" i="1"/>
  <c r="P23" i="2"/>
  <c r="M20" i="2"/>
  <c r="M18" i="2" s="1"/>
  <c r="T269" i="2"/>
  <c r="L21" i="2"/>
  <c r="L20" i="2"/>
  <c r="O23" i="2"/>
  <c r="Q24" i="1"/>
  <c r="T24" i="1" s="1"/>
  <c r="M173" i="1"/>
  <c r="P173" i="1" s="1"/>
  <c r="R21" i="2"/>
  <c r="R20" i="2"/>
  <c r="U23" i="2"/>
  <c r="L173" i="2"/>
  <c r="O173" i="2" s="1"/>
  <c r="O335" i="2"/>
  <c r="L333" i="2"/>
  <c r="O333" i="2" s="1"/>
  <c r="N24" i="1"/>
  <c r="S186" i="1"/>
  <c r="M44" i="2"/>
  <c r="P46" i="2"/>
  <c r="S21" i="2"/>
  <c r="P96" i="2"/>
  <c r="M94" i="2"/>
  <c r="P94" i="2" s="1"/>
  <c r="M186" i="2"/>
  <c r="P186" i="2" s="1"/>
  <c r="P188" i="2"/>
  <c r="U188" i="2"/>
  <c r="R186" i="2"/>
  <c r="U186" i="2" s="1"/>
  <c r="L186" i="2"/>
  <c r="O186" i="2" s="1"/>
  <c r="P358" i="2"/>
  <c r="M356" i="2"/>
  <c r="P356" i="2" s="1"/>
  <c r="S18" i="2"/>
  <c r="L282" i="2"/>
  <c r="O282" i="2" s="1"/>
  <c r="U496" i="2"/>
  <c r="N21" i="2"/>
  <c r="N20" i="2"/>
  <c r="N18" i="2" s="1"/>
  <c r="L24" i="2"/>
  <c r="O24" i="2" s="1"/>
  <c r="O26" i="2"/>
  <c r="R72" i="1"/>
  <c r="U72" i="1" s="1"/>
  <c r="P119" i="2"/>
  <c r="M117" i="2"/>
  <c r="P117" i="2" s="1"/>
  <c r="T495" i="2"/>
  <c r="M392" i="1"/>
  <c r="P392" i="1" s="1"/>
  <c r="M59" i="1"/>
  <c r="R117" i="1"/>
  <c r="U117" i="1" s="1"/>
  <c r="U96" i="1"/>
  <c r="N19" i="1"/>
  <c r="M72" i="2"/>
  <c r="P72" i="2" s="1"/>
  <c r="P74" i="2"/>
  <c r="P141" i="2"/>
  <c r="M139" i="2"/>
  <c r="P139" i="2" s="1"/>
  <c r="J492" i="2"/>
  <c r="K492" i="2" s="1"/>
  <c r="K503" i="2"/>
  <c r="R139" i="2"/>
  <c r="U139" i="2" s="1"/>
  <c r="U141" i="2"/>
  <c r="M266" i="2"/>
  <c r="P266" i="2" s="1"/>
  <c r="P268" i="2"/>
  <c r="M513" i="2"/>
  <c r="P513" i="2" s="1"/>
  <c r="R493" i="2"/>
  <c r="U493" i="2" s="1"/>
  <c r="U495" i="2"/>
  <c r="M59" i="2"/>
  <c r="P59" i="2" s="1"/>
  <c r="P61" i="2"/>
  <c r="P19" i="2"/>
  <c r="N555" i="1"/>
  <c r="O358" i="1"/>
  <c r="R157" i="1"/>
  <c r="U157" i="1" s="1"/>
  <c r="P142" i="1"/>
  <c r="U75" i="1"/>
  <c r="N576" i="1"/>
  <c r="L493" i="1"/>
  <c r="O493" i="1" s="1"/>
  <c r="S728" i="1"/>
  <c r="S513" i="1"/>
  <c r="Q20" i="2"/>
  <c r="T20" i="2" s="1"/>
  <c r="T23" i="2"/>
  <c r="Q21" i="2"/>
  <c r="O44" i="2"/>
  <c r="M21" i="2"/>
  <c r="P336" i="2"/>
  <c r="O513" i="2"/>
  <c r="T618" i="2"/>
  <c r="Q616" i="2"/>
  <c r="T616" i="2" s="1"/>
  <c r="T305" i="1"/>
  <c r="M320" i="1"/>
  <c r="Q173" i="1"/>
  <c r="T173" i="1" s="1"/>
  <c r="U305" i="1"/>
  <c r="U731" i="1"/>
  <c r="U120" i="1"/>
  <c r="M728" i="1"/>
  <c r="P728" i="1" s="1"/>
  <c r="L333" i="1"/>
  <c r="O333" i="1" s="1"/>
  <c r="O62" i="1"/>
  <c r="Q19" i="1"/>
  <c r="T19" i="1" s="1"/>
  <c r="M555" i="1"/>
  <c r="P555" i="1" s="1"/>
  <c r="O322" i="1"/>
  <c r="L513" i="1"/>
  <c r="M690" i="1"/>
  <c r="P690" i="1" s="1"/>
  <c r="L157" i="1"/>
  <c r="O157" i="1" s="1"/>
  <c r="S333" i="1"/>
  <c r="R513" i="1"/>
  <c r="U513" i="1" s="1"/>
  <c r="R555" i="1"/>
  <c r="U555" i="1" s="1"/>
  <c r="L555" i="1"/>
  <c r="O555" i="1" s="1"/>
  <c r="Q728" i="1"/>
  <c r="T731" i="1"/>
  <c r="T189" i="1"/>
  <c r="P23" i="1"/>
  <c r="O376" i="1"/>
  <c r="P358" i="1"/>
  <c r="L534" i="1"/>
  <c r="O534" i="1" s="1"/>
  <c r="U730" i="1"/>
  <c r="T306" i="1"/>
  <c r="Q94" i="1"/>
  <c r="U644" i="1"/>
  <c r="L117" i="1"/>
  <c r="O117" i="1" s="1"/>
  <c r="K83" i="1"/>
  <c r="I71" i="1"/>
  <c r="K71" i="1" s="1"/>
  <c r="R266" i="1"/>
  <c r="L72" i="1"/>
  <c r="O72" i="1" s="1"/>
  <c r="O515" i="1"/>
  <c r="R599" i="1"/>
  <c r="U599" i="1" s="1"/>
  <c r="P285" i="1"/>
  <c r="S642" i="1"/>
  <c r="Q534" i="1"/>
  <c r="T534" i="1" s="1"/>
  <c r="P189" i="1"/>
  <c r="S24" i="1"/>
  <c r="N320" i="1"/>
  <c r="S555" i="1"/>
  <c r="U23" i="1"/>
  <c r="U283" i="1"/>
  <c r="O174" i="1"/>
  <c r="L173" i="1"/>
  <c r="O173" i="1" s="1"/>
  <c r="R576" i="1"/>
  <c r="U576" i="1" s="1"/>
  <c r="T117" i="1"/>
  <c r="Q72" i="1"/>
  <c r="T72" i="1" s="1"/>
  <c r="L94" i="1"/>
  <c r="O94" i="1" s="1"/>
  <c r="Q333" i="1"/>
  <c r="T333" i="1" s="1"/>
  <c r="T335" i="1"/>
  <c r="O284" i="1"/>
  <c r="T376" i="1"/>
  <c r="Q375" i="1"/>
  <c r="T375" i="1" s="1"/>
  <c r="L186" i="1"/>
  <c r="O186" i="1" s="1"/>
  <c r="U334" i="1"/>
  <c r="R333" i="1"/>
  <c r="U333" i="1" s="1"/>
  <c r="M375" i="1"/>
  <c r="P375" i="1" s="1"/>
  <c r="P376" i="1"/>
  <c r="R139" i="1"/>
  <c r="U139" i="1" s="1"/>
  <c r="M714" i="1"/>
  <c r="P714" i="1" s="1"/>
  <c r="P715" i="1"/>
  <c r="K701" i="1"/>
  <c r="Q690" i="1"/>
  <c r="T690" i="1" s="1"/>
  <c r="T691" i="1"/>
  <c r="L356" i="1"/>
  <c r="Q139" i="1"/>
  <c r="T139" i="1" s="1"/>
  <c r="M760" i="1"/>
  <c r="P760" i="1" s="1"/>
  <c r="M333" i="1"/>
  <c r="P333" i="1" s="1"/>
  <c r="O187" i="1"/>
  <c r="O359" i="1"/>
  <c r="R493" i="1"/>
  <c r="U493" i="1" s="1"/>
  <c r="L599" i="1"/>
  <c r="O599" i="1" s="1"/>
  <c r="O600" i="1"/>
  <c r="P160" i="1"/>
  <c r="U321" i="1"/>
  <c r="R320" i="1"/>
  <c r="U320" i="1" s="1"/>
  <c r="N282" i="1"/>
  <c r="R186" i="1"/>
  <c r="R534" i="1"/>
  <c r="U534" i="1" s="1"/>
  <c r="M24" i="1"/>
  <c r="P24" i="1" s="1"/>
  <c r="U762" i="1"/>
  <c r="R760" i="1"/>
  <c r="U760" i="1" s="1"/>
  <c r="T715" i="1"/>
  <c r="Q714" i="1"/>
  <c r="T714" i="1" s="1"/>
  <c r="P494" i="1"/>
  <c r="M493" i="1"/>
  <c r="P493" i="1" s="1"/>
  <c r="M356" i="1"/>
  <c r="P357" i="1"/>
  <c r="T321" i="1"/>
  <c r="Q320" i="1"/>
  <c r="T320" i="1" s="1"/>
  <c r="P283" i="1"/>
  <c r="M282" i="1"/>
  <c r="M616" i="1"/>
  <c r="P616" i="1" s="1"/>
  <c r="P617" i="1"/>
  <c r="Q760" i="1"/>
  <c r="T760" i="1" s="1"/>
  <c r="T761" i="1"/>
  <c r="M157" i="1"/>
  <c r="P157" i="1" s="1"/>
  <c r="P158" i="1"/>
  <c r="P118" i="1"/>
  <c r="M117" i="1"/>
  <c r="P117" i="1" s="1"/>
  <c r="Q413" i="1"/>
  <c r="T413" i="1" s="1"/>
  <c r="U140" i="1"/>
  <c r="T119" i="1"/>
  <c r="M513" i="1"/>
  <c r="P513" i="1" s="1"/>
  <c r="P514" i="1"/>
  <c r="U189" i="1"/>
  <c r="Q616" i="1"/>
  <c r="T617" i="1"/>
  <c r="Q356" i="1"/>
  <c r="T356" i="1" s="1"/>
  <c r="T357" i="1"/>
  <c r="P306" i="1"/>
  <c r="S21" i="1"/>
  <c r="P46" i="1"/>
  <c r="M44" i="1"/>
  <c r="P44" i="1" s="1"/>
  <c r="R375" i="1"/>
  <c r="U375" i="1" s="1"/>
  <c r="M20" i="1"/>
  <c r="O730" i="1"/>
  <c r="L728" i="1"/>
  <c r="O728" i="1" s="1"/>
  <c r="P577" i="1"/>
  <c r="M576" i="1"/>
  <c r="P576" i="1" s="1"/>
  <c r="Q576" i="1"/>
  <c r="T576" i="1" s="1"/>
  <c r="T578" i="1"/>
  <c r="O716" i="1"/>
  <c r="L714" i="1"/>
  <c r="O714" i="1" s="1"/>
  <c r="Q555" i="1"/>
  <c r="T555" i="1" s="1"/>
  <c r="T557" i="1"/>
  <c r="P535" i="1"/>
  <c r="M534" i="1"/>
  <c r="P534" i="1" s="1"/>
  <c r="O393" i="1"/>
  <c r="L392" i="1"/>
  <c r="O392" i="1" s="1"/>
  <c r="T267" i="1"/>
  <c r="Q266" i="1"/>
  <c r="N20" i="1"/>
  <c r="N21" i="1"/>
  <c r="M21" i="1"/>
  <c r="M19" i="1"/>
  <c r="P22" i="1"/>
  <c r="T23" i="1"/>
  <c r="Q20" i="1"/>
  <c r="Q21" i="1"/>
  <c r="O26" i="1"/>
  <c r="L44" i="1"/>
  <c r="O44" i="1" s="1"/>
  <c r="O46" i="1"/>
  <c r="O617" i="1"/>
  <c r="L616" i="1"/>
  <c r="O616" i="1" s="1"/>
  <c r="U617" i="1"/>
  <c r="R616" i="1"/>
  <c r="O692" i="1"/>
  <c r="L690" i="1"/>
  <c r="O690" i="1" s="1"/>
  <c r="U692" i="1"/>
  <c r="R690" i="1"/>
  <c r="U690" i="1" s="1"/>
  <c r="O414" i="1"/>
  <c r="L413" i="1"/>
  <c r="O413" i="1" s="1"/>
  <c r="U414" i="1"/>
  <c r="R413" i="1"/>
  <c r="U413" i="1" s="1"/>
  <c r="R303" i="1"/>
  <c r="U303" i="1" s="1"/>
  <c r="U304" i="1"/>
  <c r="L282" i="1"/>
  <c r="O283" i="1"/>
  <c r="P73" i="1"/>
  <c r="M72" i="1"/>
  <c r="P72" i="1" s="1"/>
  <c r="P600" i="1"/>
  <c r="M599" i="1"/>
  <c r="P599" i="1" s="1"/>
  <c r="M413" i="1"/>
  <c r="P413" i="1" s="1"/>
  <c r="L303" i="1"/>
  <c r="O303" i="1" s="1"/>
  <c r="O304" i="1"/>
  <c r="R94" i="1"/>
  <c r="U95" i="1"/>
  <c r="L19" i="1"/>
  <c r="L21" i="1"/>
  <c r="O21" i="1" s="1"/>
  <c r="O22" i="1"/>
  <c r="R21" i="1"/>
  <c r="U21" i="1" s="1"/>
  <c r="R19" i="1"/>
  <c r="U22" i="1"/>
  <c r="T644" i="1"/>
  <c r="Q642" i="1"/>
  <c r="T61" i="1"/>
  <c r="Q59" i="1"/>
  <c r="T59" i="1" s="1"/>
  <c r="T269" i="1"/>
  <c r="P643" i="1"/>
  <c r="M642" i="1"/>
  <c r="P642" i="1" s="1"/>
  <c r="T601" i="1"/>
  <c r="Q599" i="1"/>
  <c r="T599" i="1" s="1"/>
  <c r="U716" i="1"/>
  <c r="R714" i="1"/>
  <c r="U714" i="1" s="1"/>
  <c r="T394" i="1"/>
  <c r="Q392" i="1"/>
  <c r="T392" i="1" s="1"/>
  <c r="Q282" i="1"/>
  <c r="T282" i="1" s="1"/>
  <c r="T284" i="1"/>
  <c r="S266" i="1"/>
  <c r="U268" i="1"/>
  <c r="T268" i="1"/>
  <c r="R24" i="1"/>
  <c r="U24" i="1" s="1"/>
  <c r="U25" i="1"/>
  <c r="L59" i="1"/>
  <c r="O61" i="1"/>
  <c r="T46" i="1"/>
  <c r="Q44" i="1"/>
  <c r="T44" i="1" s="1"/>
  <c r="P95" i="1"/>
  <c r="M94" i="1"/>
  <c r="P94" i="1" s="1"/>
  <c r="O761" i="1"/>
  <c r="L760" i="1"/>
  <c r="O760" i="1" s="1"/>
  <c r="U393" i="1"/>
  <c r="R392" i="1"/>
  <c r="U392" i="1" s="1"/>
  <c r="L266" i="1"/>
  <c r="O266" i="1" s="1"/>
  <c r="M266" i="1"/>
  <c r="P268" i="1"/>
  <c r="L24" i="1"/>
  <c r="O25" i="1"/>
  <c r="O23" i="1"/>
  <c r="L20" i="1"/>
  <c r="J70" i="1"/>
  <c r="K70" i="1" s="1"/>
  <c r="K82" i="1"/>
  <c r="S19" i="1"/>
  <c r="R44" i="1"/>
  <c r="U44" i="1" s="1"/>
  <c r="U46" i="1"/>
  <c r="O40" i="15" l="1"/>
  <c r="P40" i="15"/>
  <c r="O40" i="12"/>
  <c r="P40" i="12"/>
  <c r="P40" i="9"/>
  <c r="O40" i="10"/>
  <c r="P40" i="10"/>
  <c r="O40" i="9"/>
  <c r="T21" i="5"/>
  <c r="P40" i="7"/>
  <c r="P40" i="8"/>
  <c r="O40" i="8"/>
  <c r="T728" i="1"/>
  <c r="O320" i="1"/>
  <c r="O21" i="6"/>
  <c r="U616" i="1"/>
  <c r="T616" i="1"/>
  <c r="T21" i="6"/>
  <c r="T266" i="6"/>
  <c r="P333" i="4"/>
  <c r="U21" i="6"/>
  <c r="O513" i="1"/>
  <c r="T186" i="1"/>
  <c r="M40" i="6"/>
  <c r="P40" i="6" s="1"/>
  <c r="L40" i="6"/>
  <c r="O40" i="6" s="1"/>
  <c r="O44" i="6"/>
  <c r="T303" i="3"/>
  <c r="K231" i="6"/>
  <c r="I185" i="6"/>
  <c r="K185" i="6" s="1"/>
  <c r="U690" i="5"/>
  <c r="T20" i="6"/>
  <c r="Q18" i="6"/>
  <c r="T18" i="6" s="1"/>
  <c r="O20" i="6"/>
  <c r="L18" i="6"/>
  <c r="O18" i="6" s="1"/>
  <c r="P20" i="6"/>
  <c r="M18" i="6"/>
  <c r="P18" i="6" s="1"/>
  <c r="U21" i="5"/>
  <c r="R18" i="6"/>
  <c r="U18" i="6" s="1"/>
  <c r="O186" i="5"/>
  <c r="O333" i="5"/>
  <c r="P20" i="5"/>
  <c r="R18" i="5"/>
  <c r="U18" i="5" s="1"/>
  <c r="M40" i="5"/>
  <c r="P44" i="5"/>
  <c r="M40" i="4"/>
  <c r="O18" i="5"/>
  <c r="O20" i="5"/>
  <c r="N40" i="5"/>
  <c r="O44" i="5"/>
  <c r="T117" i="2"/>
  <c r="P59" i="5"/>
  <c r="I185" i="2"/>
  <c r="K185" i="2" s="1"/>
  <c r="Q18" i="5"/>
  <c r="T18" i="5" s="1"/>
  <c r="M18" i="5"/>
  <c r="P18" i="5" s="1"/>
  <c r="O21" i="5"/>
  <c r="O139" i="5"/>
  <c r="L40" i="5"/>
  <c r="O59" i="1"/>
  <c r="T94" i="3"/>
  <c r="R18" i="4"/>
  <c r="U18" i="4" s="1"/>
  <c r="P139" i="4"/>
  <c r="P59" i="1"/>
  <c r="O21" i="4"/>
  <c r="U20" i="1"/>
  <c r="S18" i="1"/>
  <c r="U728" i="1"/>
  <c r="U94" i="1"/>
  <c r="U186" i="1"/>
  <c r="T94" i="1"/>
  <c r="T21" i="4"/>
  <c r="O356" i="1"/>
  <c r="T20" i="4"/>
  <c r="Q18" i="4"/>
  <c r="T18" i="4" s="1"/>
  <c r="N40" i="4"/>
  <c r="L40" i="4"/>
  <c r="O44" i="4"/>
  <c r="P356" i="1"/>
  <c r="O356" i="4"/>
  <c r="P20" i="4"/>
  <c r="M18" i="4"/>
  <c r="P18" i="4" s="1"/>
  <c r="K231" i="4"/>
  <c r="I185" i="4"/>
  <c r="K185" i="4" s="1"/>
  <c r="U18" i="3"/>
  <c r="O20" i="4"/>
  <c r="L18" i="4"/>
  <c r="O18" i="4" s="1"/>
  <c r="P18" i="2"/>
  <c r="P18" i="3"/>
  <c r="O24" i="1"/>
  <c r="U642" i="1"/>
  <c r="T21" i="3"/>
  <c r="P21" i="3"/>
  <c r="O18" i="3"/>
  <c r="T20" i="3"/>
  <c r="Q18" i="3"/>
  <c r="T18" i="3" s="1"/>
  <c r="P20" i="3"/>
  <c r="U21" i="3"/>
  <c r="K231" i="3"/>
  <c r="I185" i="3"/>
  <c r="K185" i="3" s="1"/>
  <c r="L40" i="3"/>
  <c r="O40" i="3" s="1"/>
  <c r="O44" i="3"/>
  <c r="P20" i="2"/>
  <c r="O20" i="3"/>
  <c r="P44" i="3"/>
  <c r="M40" i="3"/>
  <c r="P40" i="3" s="1"/>
  <c r="U20" i="3"/>
  <c r="U266" i="1"/>
  <c r="P266" i="1"/>
  <c r="T642" i="1"/>
  <c r="P320" i="1"/>
  <c r="P21" i="2"/>
  <c r="M40" i="2"/>
  <c r="P40" i="2" s="1"/>
  <c r="P44" i="2"/>
  <c r="O20" i="2"/>
  <c r="L18" i="2"/>
  <c r="O18" i="2" s="1"/>
  <c r="Q18" i="2"/>
  <c r="T18" i="2" s="1"/>
  <c r="L40" i="2"/>
  <c r="O40" i="2" s="1"/>
  <c r="U20" i="2"/>
  <c r="R18" i="2"/>
  <c r="U18" i="2" s="1"/>
  <c r="O21" i="2"/>
  <c r="T21" i="2"/>
  <c r="U21" i="2"/>
  <c r="O282" i="1"/>
  <c r="T21" i="1"/>
  <c r="P21" i="1"/>
  <c r="P282" i="1"/>
  <c r="O20" i="1"/>
  <c r="L18" i="1"/>
  <c r="O19" i="1"/>
  <c r="T20" i="1"/>
  <c r="Q18" i="1"/>
  <c r="P20" i="1"/>
  <c r="N18" i="1"/>
  <c r="T266" i="1"/>
  <c r="U19" i="1"/>
  <c r="R18" i="1"/>
  <c r="M18" i="1"/>
  <c r="P19" i="1"/>
  <c r="T18" i="1" l="1"/>
  <c r="O40" i="5"/>
  <c r="P40" i="5"/>
  <c r="P40" i="4"/>
  <c r="O40" i="4"/>
  <c r="U18" i="1"/>
  <c r="O18" i="1"/>
  <c r="P18" i="1"/>
</calcChain>
</file>

<file path=xl/sharedStrings.xml><?xml version="1.0" encoding="utf-8"?>
<sst xmlns="http://schemas.openxmlformats.org/spreadsheetml/2006/main" count="19708" uniqueCount="328">
  <si>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</si>
  <si>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</si>
  <si>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</si>
  <si>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</si>
  <si>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</si>
  <si>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</si>
  <si>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</si>
  <si>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</si>
  <si>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</si>
  <si>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</si>
  <si>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</si>
  <si>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</si>
  <si>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</si>
  <si>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</si>
  <si>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</si>
  <si>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</si>
  <si>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</si>
  <si>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</si>
  <si>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</si>
  <si>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</si>
  <si>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</si>
  <si>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</si>
  <si>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</si>
  <si>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</si>
  <si>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</si>
  <si>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</si>
  <si>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</si>
  <si>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</si>
  <si>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</si>
  <si>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</si>
  <si>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</si>
  <si>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</si>
  <si>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</si>
  <si>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</si>
  <si>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</si>
  <si>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</si>
  <si>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</si>
  <si>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</si>
  <si>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</si>
  <si>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</si>
  <si>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</si>
  <si>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</si>
  <si>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</si>
  <si>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</si>
  <si>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</si>
  <si>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</si>
  <si>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</si>
  <si>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</si>
  <si>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</si>
  <si>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</si>
  <si>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</si>
  <si>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</si>
  <si>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</si>
  <si>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</si>
  <si>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</si>
  <si>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</si>
  <si>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</si>
  <si>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</si>
  <si>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</si>
  <si>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</si>
  <si>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</si>
  <si>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</si>
  <si>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</si>
  <si>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</si>
  <si>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</si>
  <si>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</si>
  <si>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</si>
  <si>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</si>
  <si>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</si>
  <si>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</si>
  <si>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</si>
  <si>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</si>
  <si>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</si>
  <si>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</si>
  <si>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</si>
  <si>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</si>
  <si>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</si>
  <si>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</si>
  <si>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</si>
  <si>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</si>
  <si>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</si>
  <si>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</si>
  <si>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</si>
  <si>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</si>
  <si>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</si>
  <si>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</si>
  <si>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</si>
  <si>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</si>
  <si>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</si>
  <si>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</si>
  <si>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</si>
  <si>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</si>
  <si>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</si>
  <si>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</si>
  <si>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</si>
  <si>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</si>
  <si>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</si>
  <si>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</si>
  <si>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</si>
  <si>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</si>
  <si>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</si>
  <si>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</si>
  <si>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</si>
  <si>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</si>
  <si>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</si>
  <si>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</si>
  <si>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</si>
  <si>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</si>
  <si>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</si>
  <si>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</si>
  <si>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</si>
  <si>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</si>
  <si>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</si>
  <si>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</si>
  <si>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</si>
  <si>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</si>
  <si>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</si>
  <si>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</si>
  <si>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</si>
  <si>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</si>
  <si>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</si>
  <si>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</si>
  <si>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</si>
  <si>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</si>
  <si>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</si>
  <si>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</si>
  <si>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</si>
  <si>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</si>
  <si>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</si>
  <si>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</si>
  <si>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</si>
  <si>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</si>
  <si>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</si>
  <si>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</si>
  <si>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</si>
  <si>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</si>
  <si>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</si>
  <si>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</si>
  <si>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</si>
  <si>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</si>
  <si>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</si>
  <si>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</si>
  <si>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</si>
  <si>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</si>
  <si>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</si>
  <si>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</si>
  <si>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</si>
  <si>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</si>
  <si>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</si>
  <si>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</si>
  <si>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</si>
  <si>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</si>
  <si>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</si>
  <si>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</si>
  <si>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</si>
  <si>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</si>
  <si>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</si>
  <si>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</si>
  <si>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</si>
  <si>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</si>
  <si>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</si>
  <si>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</si>
  <si>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</si>
  <si>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</si>
  <si>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</si>
  <si>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</si>
  <si>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</si>
  <si>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</si>
  <si>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</si>
  <si>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</si>
  <si>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</si>
  <si>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</si>
  <si>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</si>
  <si>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</si>
  <si>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</si>
  <si>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</si>
  <si>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</si>
  <si>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</si>
  <si>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</si>
  <si>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</si>
  <si>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</si>
  <si>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</si>
  <si>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</si>
  <si>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</si>
  <si>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</si>
  <si>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</si>
  <si>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</si>
  <si>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</si>
  <si>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</si>
  <si>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</si>
  <si>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</si>
  <si>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</si>
  <si>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</si>
  <si>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</si>
  <si>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</si>
  <si>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</si>
  <si>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</si>
  <si>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</si>
  <si>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</si>
  <si>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</si>
  <si>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</si>
  <si>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</si>
  <si>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</si>
  <si>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</si>
  <si>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</si>
  <si>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</si>
  <si>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</si>
  <si>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</si>
  <si>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</si>
  <si>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</si>
  <si>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</si>
  <si>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</si>
  <si>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</si>
  <si>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</si>
  <si>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</si>
  <si>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</si>
  <si>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</si>
  <si>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</si>
  <si>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</si>
  <si>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</si>
  <si>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</si>
  <si>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</si>
  <si>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</si>
  <si>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</si>
  <si>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</si>
  <si>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</si>
  <si>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</si>
  <si>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</si>
  <si>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</si>
  <si>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</si>
  <si>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</si>
  <si>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</si>
  <si>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</si>
  <si>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</si>
  <si>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</si>
  <si>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</si>
  <si>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</si>
  <si>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</si>
  <si>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</si>
  <si>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</si>
  <si>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</si>
  <si>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</si>
  <si>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</si>
  <si>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</si>
  <si>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</si>
  <si>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</si>
  <si>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</si>
  <si>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</si>
  <si>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</si>
  <si>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</si>
  <si>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</si>
  <si>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</si>
  <si>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</si>
  <si>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</si>
  <si>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</si>
  <si>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</si>
  <si>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</si>
  <si>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</si>
  <si>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</si>
  <si>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</si>
  <si>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</si>
  <si>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</si>
  <si>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</si>
  <si>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</si>
  <si>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</si>
  <si>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</si>
  <si>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</si>
  <si>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</si>
  <si>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</si>
  <si>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</si>
  <si>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</si>
  <si>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</si>
  <si>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</si>
  <si>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</si>
  <si>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</si>
  <si>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</si>
  <si>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</si>
  <si>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</si>
  <si>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</si>
  <si>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</si>
  <si>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</si>
  <si>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</si>
  <si>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</si>
  <si>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</si>
  <si>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</si>
  <si>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</si>
  <si>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</si>
  <si>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</si>
  <si>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</si>
  <si>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</si>
  <si>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</si>
  <si>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</si>
  <si>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</si>
  <si>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</si>
  <si>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</si>
  <si>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</si>
  <si>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</si>
  <si>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</si>
  <si>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</si>
  <si>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</si>
  <si>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</si>
  <si>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</si>
  <si>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</si>
  <si>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</si>
  <si>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</si>
  <si>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</si>
  <si>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</si>
  <si>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</si>
  <si>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</si>
  <si>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</si>
  <si>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</si>
  <si>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</si>
  <si>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</si>
  <si>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</si>
  <si>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</si>
  <si>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</si>
  <si>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</si>
  <si>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</si>
  <si>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</si>
  <si>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</si>
  <si>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</si>
  <si>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</si>
  <si>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</si>
  <si>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</si>
  <si>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</si>
  <si>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</si>
  <si>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</si>
  <si>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30 เม.ย.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</si>
</sst>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5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791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8" fillId="2" borderId="9" xfId="0" applyNumberFormat="1" applyFont="1" applyFill="1" applyBorder="1"/>
    <xf numFmtId="164" fontId="8" fillId="2" borderId="10" xfId="0" applyNumberFormat="1" applyFont="1" applyFill="1" applyBorder="1" applyAlignment="1">
      <alignment horizontal="right"/>
    </xf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7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8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29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16" fillId="22" borderId="8" xfId="0" applyNumberFormat="1" applyFont="1" applyFill="1" applyBorder="1"/>
    <xf numFmtId="0" fontId="16" fillId="12" borderId="9" xfId="0" applyFont="1" applyFill="1" applyBorder="1"/>
    <xf numFmtId="165" fontId="16" fillId="12" borderId="9" xfId="0" applyNumberFormat="1" applyFont="1" applyFill="1" applyBorder="1" applyAlignment="1">
      <alignment horizontal="center"/>
    </xf>
    <xf numFmtId="165" fontId="2" fillId="12" borderId="8" xfId="0" applyNumberFormat="1" applyFont="1" applyFill="1" applyBorder="1"/>
    <xf numFmtId="165" fontId="8" fillId="12" borderId="9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16" fillId="0" borderId="10" xfId="0" applyNumberFormat="1" applyFont="1" applyBorder="1" applyAlignment="1">
      <alignment horizontal="center" wrapText="1"/>
    </xf>
    <xf numFmtId="0" fontId="31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32" fillId="23" borderId="9" xfId="0" quotePrefix="1" applyFont="1" applyFill="1" applyBorder="1"/>
    <xf numFmtId="165" fontId="8" fillId="0" borderId="9" xfId="0" applyNumberFormat="1" applyFont="1" applyBorder="1"/>
    <xf numFmtId="165" fontId="2" fillId="0" borderId="14" xfId="0" applyNumberFormat="1" applyFont="1" applyBorder="1"/>
    <xf numFmtId="165" fontId="2" fillId="0" borderId="15" xfId="0" applyNumberFormat="1" applyFont="1" applyBorder="1"/>
    <xf numFmtId="165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5" fontId="8" fillId="0" borderId="16" xfId="0" applyNumberFormat="1" applyFont="1" applyBorder="1" applyAlignment="1">
      <alignment horizontal="center" wrapText="1"/>
    </xf>
    <xf numFmtId="164" fontId="2" fillId="2" borderId="16" xfId="0" applyNumberFormat="1" applyFont="1" applyFill="1" applyBorder="1"/>
    <xf numFmtId="166" fontId="2" fillId="0" borderId="16" xfId="0" applyNumberFormat="1" applyFont="1" applyBorder="1"/>
    <xf numFmtId="166" fontId="2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4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5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6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37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0" fontId="38" fillId="23" borderId="9" xfId="0" applyFont="1" applyFill="1" applyBorder="1"/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39" fillId="2" borderId="10" xfId="0" applyNumberFormat="1" applyFont="1" applyFill="1" applyBorder="1"/>
    <xf numFmtId="166" fontId="39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164" fontId="39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0" fontId="39" fillId="0" borderId="10" xfId="0" applyFont="1" applyBorder="1"/>
    <xf numFmtId="0" fontId="23" fillId="0" borderId="9" xfId="0" applyFont="1" applyBorder="1"/>
    <xf numFmtId="0" fontId="39" fillId="0" borderId="9" xfId="0" applyFont="1" applyBorder="1"/>
    <xf numFmtId="165" fontId="39" fillId="0" borderId="9" xfId="0" applyNumberFormat="1" applyFont="1" applyBorder="1"/>
    <xf numFmtId="165" fontId="39" fillId="0" borderId="8" xfId="0" applyNumberFormat="1" applyFont="1" applyBorder="1"/>
    <xf numFmtId="166" fontId="23" fillId="2" borderId="10" xfId="0" applyNumberFormat="1" applyFont="1" applyFill="1" applyBorder="1" applyAlignment="1">
      <alignment horizontal="right"/>
    </xf>
    <xf numFmtId="164" fontId="23" fillId="2" borderId="10" xfId="0" applyNumberFormat="1" applyFont="1" applyFill="1" applyBorder="1" applyAlignment="1">
      <alignment horizontal="right"/>
    </xf>
    <xf numFmtId="165" fontId="39" fillId="2" borderId="10" xfId="0" applyNumberFormat="1" applyFont="1" applyFill="1" applyBorder="1"/>
    <xf numFmtId="165" fontId="23" fillId="0" borderId="9" xfId="0" applyNumberFormat="1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6" fontId="2" fillId="38" borderId="20" xfId="0" applyNumberFormat="1" applyFont="1" applyFill="1" applyBorder="1"/>
    <xf numFmtId="166" fontId="2" fillId="2" borderId="22" xfId="0" applyNumberFormat="1" applyFont="1" applyFill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6" fontId="2" fillId="27" borderId="21" xfId="0" applyNumberFormat="1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166" fontId="23" fillId="2" borderId="2" xfId="0" applyNumberFormat="1" applyFont="1" applyFill="1" applyBorder="1" applyAlignment="1">
      <alignment horizontal="right"/>
    </xf>
    <xf numFmtId="164" fontId="23" fillId="24" borderId="2" xfId="0" applyNumberFormat="1" applyFont="1" applyFill="1" applyBorder="1" applyAlignment="1">
      <alignment horizontal="right"/>
    </xf>
    <xf numFmtId="164" fontId="23" fillId="2" borderId="2" xfId="0" applyNumberFormat="1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wrapText="1"/>
    </xf>
    <xf numFmtId="0" fontId="39" fillId="2" borderId="2" xfId="0" applyFont="1" applyFill="1" applyBorder="1"/>
    <xf numFmtId="0" fontId="39" fillId="2" borderId="1" xfId="0" applyFont="1" applyFill="1" applyBorder="1"/>
    <xf numFmtId="165" fontId="39" fillId="0" borderId="1" xfId="0" applyNumberFormat="1" applyFont="1" applyBorder="1"/>
    <xf numFmtId="0" fontId="23" fillId="0" borderId="1" xfId="0" applyFont="1" applyBorder="1"/>
    <xf numFmtId="165" fontId="39" fillId="2" borderId="1" xfId="0" applyNumberFormat="1" applyFont="1" applyFill="1" applyBorder="1"/>
    <xf numFmtId="165" fontId="39" fillId="2" borderId="7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0" fontId="39" fillId="2" borderId="10" xfId="0" applyFont="1" applyFill="1" applyBorder="1"/>
    <xf numFmtId="0" fontId="39" fillId="2" borderId="9" xfId="0" applyFont="1" applyFill="1" applyBorder="1"/>
    <xf numFmtId="165" fontId="39" fillId="2" borderId="9" xfId="0" applyNumberFormat="1" applyFont="1" applyFill="1" applyBorder="1"/>
    <xf numFmtId="165" fontId="39" fillId="2" borderId="8" xfId="0" applyNumberFormat="1" applyFont="1" applyFill="1" applyBorder="1"/>
    <xf numFmtId="164" fontId="39" fillId="0" borderId="10" xfId="0" applyNumberFormat="1" applyFont="1" applyBorder="1"/>
    <xf numFmtId="0" fontId="39" fillId="23" borderId="10" xfId="0" applyFont="1" applyFill="1" applyBorder="1"/>
    <xf numFmtId="0" fontId="39" fillId="23" borderId="9" xfId="0" applyFont="1" applyFill="1" applyBorder="1"/>
    <xf numFmtId="0" fontId="40" fillId="23" borderId="9" xfId="0" quotePrefix="1" applyFont="1" applyFill="1" applyBorder="1"/>
    <xf numFmtId="0" fontId="1" fillId="2" borderId="9" xfId="0" applyFont="1" applyFill="1" applyBorder="1"/>
    <xf numFmtId="166" fontId="39" fillId="0" borderId="10" xfId="0" applyNumberFormat="1" applyFont="1" applyBorder="1"/>
    <xf numFmtId="165" fontId="23" fillId="0" borderId="10" xfId="0" applyNumberFormat="1" applyFont="1" applyBorder="1" applyAlignment="1">
      <alignment horizontal="center"/>
    </xf>
    <xf numFmtId="0" fontId="23" fillId="2" borderId="9" xfId="0" applyFont="1" applyFill="1" applyBorder="1"/>
    <xf numFmtId="167" fontId="39" fillId="2" borderId="8" xfId="0" applyNumberFormat="1" applyFont="1" applyFill="1" applyBorder="1"/>
    <xf numFmtId="166" fontId="41" fillId="0" borderId="10" xfId="0" applyNumberFormat="1" applyFont="1" applyBorder="1"/>
    <xf numFmtId="164" fontId="41" fillId="0" borderId="10" xfId="0" applyNumberFormat="1" applyFont="1" applyBorder="1"/>
    <xf numFmtId="0" fontId="41" fillId="2" borderId="10" xfId="0" applyFont="1" applyFill="1" applyBorder="1"/>
    <xf numFmtId="0" fontId="41" fillId="2" borderId="9" xfId="0" applyFont="1" applyFill="1" applyBorder="1"/>
    <xf numFmtId="167" fontId="41" fillId="2" borderId="8" xfId="0" applyNumberFormat="1" applyFont="1" applyFill="1" applyBorder="1"/>
    <xf numFmtId="0" fontId="42" fillId="2" borderId="9" xfId="0" applyFont="1" applyFill="1" applyBorder="1"/>
    <xf numFmtId="165" fontId="23" fillId="0" borderId="10" xfId="0" applyNumberFormat="1" applyFont="1" applyBorder="1" applyAlignment="1">
      <alignment horizontal="center" wrapText="1"/>
    </xf>
    <xf numFmtId="166" fontId="41" fillId="2" borderId="10" xfId="0" applyNumberFormat="1" applyFont="1" applyFill="1" applyBorder="1"/>
    <xf numFmtId="164" fontId="41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0" fontId="40" fillId="2" borderId="9" xfId="0" applyFont="1" applyFill="1" applyBorder="1"/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39" fillId="37" borderId="10" xfId="0" applyFont="1" applyFill="1" applyBorder="1"/>
    <xf numFmtId="0" fontId="39" fillId="37" borderId="9" xfId="0" applyFont="1" applyFill="1" applyBorder="1"/>
    <xf numFmtId="165" fontId="39" fillId="37" borderId="9" xfId="0" applyNumberFormat="1" applyFont="1" applyFill="1" applyBorder="1"/>
    <xf numFmtId="0" fontId="1" fillId="37" borderId="9" xfId="0" applyFont="1" applyFill="1" applyBorder="1"/>
    <xf numFmtId="165" fontId="39" fillId="37" borderId="8" xfId="0" applyNumberFormat="1" applyFont="1" applyFill="1" applyBorder="1"/>
    <xf numFmtId="166" fontId="2" fillId="36" borderId="23" xfId="0" applyNumberFormat="1" applyFont="1" applyFill="1" applyBorder="1"/>
    <xf numFmtId="166" fontId="39" fillId="36" borderId="10" xfId="0" applyNumberFormat="1" applyFont="1" applyFill="1" applyBorder="1"/>
    <xf numFmtId="164" fontId="39" fillId="36" borderId="10" xfId="0" applyNumberFormat="1" applyFont="1" applyFill="1" applyBorder="1"/>
    <xf numFmtId="0" fontId="39" fillId="36" borderId="10" xfId="0" applyFont="1" applyFill="1" applyBorder="1"/>
    <xf numFmtId="165" fontId="39" fillId="36" borderId="9" xfId="0" applyNumberFormat="1" applyFont="1" applyFill="1" applyBorder="1"/>
    <xf numFmtId="0" fontId="39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39" fillId="34" borderId="1" xfId="0" applyNumberFormat="1" applyFont="1" applyFill="1" applyBorder="1"/>
    <xf numFmtId="164" fontId="39" fillId="34" borderId="1" xfId="0" applyNumberFormat="1" applyFont="1" applyFill="1" applyBorder="1"/>
    <xf numFmtId="0" fontId="39" fillId="34" borderId="1" xfId="0" applyFont="1" applyFill="1" applyBorder="1"/>
    <xf numFmtId="165" fontId="39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6" fontId="2" fillId="33" borderId="21" xfId="0" applyNumberFormat="1" applyFont="1" applyFill="1" applyBorder="1"/>
    <xf numFmtId="168" fontId="2" fillId="2" borderId="10" xfId="0" applyNumberFormat="1" applyFont="1" applyFill="1" applyBorder="1"/>
    <xf numFmtId="165" fontId="6" fillId="2" borderId="9" xfId="0" quotePrefix="1" applyNumberFormat="1" applyFont="1" applyFill="1" applyBorder="1"/>
    <xf numFmtId="165" fontId="6" fillId="2" borderId="9" xfId="0" applyNumberFormat="1" applyFont="1" applyFill="1" applyBorder="1"/>
    <xf numFmtId="165" fontId="23" fillId="2" borderId="9" xfId="0" applyNumberFormat="1" applyFont="1" applyFill="1" applyBorder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4" fontId="7" fillId="2" borderId="13" xfId="0" applyNumberFormat="1" applyFont="1" applyFill="1" applyBorder="1" applyAlignment="1">
      <alignment horizontal="right"/>
    </xf>
    <xf numFmtId="165" fontId="7" fillId="2" borderId="13" xfId="0" applyNumberFormat="1" applyFont="1" applyFill="1" applyBorder="1" applyAlignment="1">
      <alignment horizontal="center"/>
    </xf>
    <xf numFmtId="0" fontId="2" fillId="2" borderId="13" xfId="0" applyFont="1" applyFill="1" applyBorder="1"/>
    <xf numFmtId="0" fontId="2" fillId="2" borderId="12" xfId="0" applyFont="1" applyFill="1" applyBorder="1"/>
    <xf numFmtId="0" fontId="7" fillId="2" borderId="12" xfId="0" quotePrefix="1" applyFont="1" applyFill="1" applyBorder="1"/>
    <xf numFmtId="165" fontId="2" fillId="2" borderId="12" xfId="0" applyNumberFormat="1" applyFont="1" applyFill="1" applyBorder="1"/>
    <xf numFmtId="46" fontId="2" fillId="2" borderId="11" xfId="0" applyNumberFormat="1" applyFont="1" applyFill="1" applyBorder="1"/>
    <xf numFmtId="166" fontId="39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10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39" fillId="23" borderId="10" xfId="0" applyNumberFormat="1" applyFont="1" applyFill="1" applyBorder="1"/>
    <xf numFmtId="166" fontId="39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39" fillId="23" borderId="9" xfId="0" applyNumberFormat="1" applyFont="1" applyFill="1" applyBorder="1"/>
    <xf numFmtId="0" fontId="1" fillId="23" borderId="9" xfId="0" applyFont="1" applyFill="1" applyBorder="1"/>
    <xf numFmtId="165" fontId="39" fillId="23" borderId="8" xfId="0" applyNumberFormat="1" applyFont="1" applyFill="1" applyBorder="1"/>
    <xf numFmtId="166" fontId="39" fillId="25" borderId="10" xfId="0" applyNumberFormat="1" applyFont="1" applyFill="1" applyBorder="1"/>
    <xf numFmtId="166" fontId="39" fillId="25" borderId="21" xfId="0" applyNumberFormat="1" applyFont="1" applyFill="1" applyBorder="1"/>
    <xf numFmtId="164" fontId="39" fillId="25" borderId="10" xfId="0" applyNumberFormat="1" applyFont="1" applyFill="1" applyBorder="1"/>
    <xf numFmtId="0" fontId="39" fillId="25" borderId="10" xfId="0" applyFont="1" applyFill="1" applyBorder="1"/>
    <xf numFmtId="0" fontId="39" fillId="25" borderId="9" xfId="0" applyFont="1" applyFill="1" applyBorder="1"/>
    <xf numFmtId="165" fontId="39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1" fillId="0" borderId="10" xfId="0" applyFont="1" applyBorder="1"/>
    <xf numFmtId="0" fontId="41" fillId="0" borderId="9" xfId="0" applyFont="1" applyBorder="1"/>
    <xf numFmtId="165" fontId="41" fillId="0" borderId="9" xfId="0" applyNumberFormat="1" applyFont="1" applyBorder="1"/>
    <xf numFmtId="165" fontId="41" fillId="0" borderId="8" xfId="0" applyNumberFormat="1" applyFont="1" applyBorder="1"/>
    <xf numFmtId="0" fontId="41" fillId="23" borderId="10" xfId="0" applyFont="1" applyFill="1" applyBorder="1"/>
    <xf numFmtId="0" fontId="41" fillId="23" borderId="9" xfId="0" applyFont="1" applyFill="1" applyBorder="1"/>
    <xf numFmtId="165" fontId="41" fillId="2" borderId="9" xfId="0" applyNumberFormat="1" applyFont="1" applyFill="1" applyBorder="1"/>
    <xf numFmtId="165" fontId="41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1" fillId="26" borderId="10" xfId="0" applyFont="1" applyFill="1" applyBorder="1"/>
    <xf numFmtId="0" fontId="41" fillId="26" borderId="9" xfId="0" applyFont="1" applyFill="1" applyBorder="1"/>
    <xf numFmtId="165" fontId="41" fillId="26" borderId="9" xfId="0" applyNumberFormat="1" applyFont="1" applyFill="1" applyBorder="1"/>
    <xf numFmtId="165" fontId="41" fillId="26" borderId="8" xfId="0" applyNumberFormat="1" applyFont="1" applyFill="1" applyBorder="1"/>
    <xf numFmtId="0" fontId="7" fillId="2" borderId="12" xfId="0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166" fontId="2" fillId="15" borderId="21" xfId="0" applyNumberFormat="1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166" fontId="2" fillId="2" borderId="1" xfId="0" applyNumberFormat="1" applyFont="1" applyFill="1" applyBorder="1"/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4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5" fontId="16" fillId="34" borderId="7" xfId="0" applyNumberFormat="1" applyFont="1" applyFill="1" applyBorder="1"/>
    <xf numFmtId="0" fontId="7" fillId="0" borderId="12" xfId="0" applyFont="1" applyBorder="1"/>
    <xf numFmtId="0" fontId="41" fillId="0" borderId="2" xfId="0" applyFont="1" applyBorder="1"/>
    <xf numFmtId="0" fontId="41" fillId="0" borderId="1" xfId="0" applyFont="1" applyBorder="1"/>
    <xf numFmtId="165" fontId="41" fillId="0" borderId="1" xfId="0" applyNumberFormat="1" applyFont="1" applyBorder="1"/>
    <xf numFmtId="165" fontId="41" fillId="0" borderId="7" xfId="0" applyNumberFormat="1" applyFont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5" fontId="1" fillId="2" borderId="9" xfId="0" applyNumberFormat="1" applyFont="1" applyFill="1" applyBorder="1"/>
    <xf numFmtId="165" fontId="1" fillId="0" borderId="10" xfId="0" applyNumberFormat="1" applyFont="1" applyBorder="1" applyAlignment="1">
      <alignment horizontal="center" wrapText="1"/>
    </xf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9" fillId="26" borderId="10" xfId="0" applyFont="1" applyFill="1" applyBorder="1"/>
    <xf numFmtId="0" fontId="39" fillId="26" borderId="9" xfId="0" applyFont="1" applyFill="1" applyBorder="1"/>
    <xf numFmtId="0" fontId="1" fillId="26" borderId="9" xfId="0" applyFont="1" applyFill="1" applyBorder="1"/>
    <xf numFmtId="165" fontId="39" fillId="26" borderId="9" xfId="0" applyNumberFormat="1" applyFont="1" applyFill="1" applyBorder="1"/>
    <xf numFmtId="165" fontId="39" fillId="26" borderId="8" xfId="0" applyNumberFormat="1" applyFont="1" applyFill="1" applyBorder="1"/>
    <xf numFmtId="165" fontId="8" fillId="2" borderId="12" xfId="0" applyNumberFormat="1" applyFont="1" applyFill="1" applyBorder="1"/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39" fillId="2" borderId="13" xfId="0" applyFont="1" applyFill="1" applyBorder="1"/>
    <xf numFmtId="0" fontId="39" fillId="2" borderId="12" xfId="0" applyFont="1" applyFill="1" applyBorder="1"/>
    <xf numFmtId="0" fontId="23" fillId="2" borderId="12" xfId="0" quotePrefix="1" applyFont="1" applyFill="1" applyBorder="1"/>
    <xf numFmtId="165" fontId="39" fillId="2" borderId="12" xfId="0" applyNumberFormat="1" applyFont="1" applyFill="1" applyBorder="1"/>
    <xf numFmtId="46" fontId="39" fillId="2" borderId="11" xfId="0" applyNumberFormat="1" applyFont="1" applyFill="1" applyBorder="1"/>
    <xf numFmtId="166" fontId="41" fillId="0" borderId="2" xfId="0" applyNumberFormat="1" applyFont="1" applyBorder="1"/>
    <xf numFmtId="166" fontId="41" fillId="0" borderId="20" xfId="0" applyNumberFormat="1" applyFont="1" applyBorder="1"/>
    <xf numFmtId="164" fontId="2" fillId="2" borderId="13" xfId="0" applyNumberFormat="1" applyFont="1" applyFill="1" applyBorder="1"/>
    <xf numFmtId="0" fontId="7" fillId="2" borderId="13" xfId="0" applyFont="1" applyFill="1" applyBorder="1" applyAlignment="1">
      <alignment horizontal="center"/>
    </xf>
    <xf numFmtId="165" fontId="2" fillId="2" borderId="11" xfId="0" applyNumberFormat="1" applyFont="1" applyFill="1" applyBorder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30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3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5" fontId="26" fillId="2" borderId="1" xfId="0" applyNumberFormat="1" applyFont="1" applyFill="1" applyBorder="1"/>
    <xf numFmtId="0" fontId="5" fillId="0" borderId="0" xfId="0" applyFont="1" applyAlignment="1">
      <alignment horizontal="center"/>
    </xf>
    <xf numFmtId="165" fontId="3" fillId="3" borderId="7" xfId="0" applyNumberFormat="1" applyFont="1" applyFill="1" applyBorder="1" applyAlignment="1">
      <alignment horizontal="center"/>
    </xf>
    <xf numFmtId="165" fontId="3" fillId="4" borderId="1" xfId="0" applyNumberFormat="1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top"/>
    </xf>
    <xf numFmtId="0" fontId="43" fillId="0" borderId="1" xfId="0" applyFont="1" applyBorder="1"/>
    <xf numFmtId="165" fontId="6" fillId="2" borderId="1" xfId="0" applyNumberFormat="1" applyFont="1" applyFill="1" applyBorder="1"/>
    <xf numFmtId="0" fontId="18" fillId="2" borderId="9" xfId="0" applyFont="1" applyFill="1" applyBorder="1"/>
    <xf numFmtId="0" fontId="6" fillId="2" borderId="9" xfId="0" applyFont="1" applyFill="1" applyBorder="1"/>
    <xf numFmtId="166" fontId="5" fillId="7" borderId="7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3" bestFit="1" customWidth="1"/>
    <col min="15" max="15" width="20.140625" bestFit="1" customWidth="1"/>
    <col min="16" max="16" width="22" bestFit="1" customWidth="1"/>
    <col min="17" max="18" width="23" bestFit="1" customWidth="1"/>
    <col min="19" max="19" width="21.28515625" bestFit="1" customWidth="1"/>
    <col min="20" max="20" width="20.140625" bestFit="1" customWidth="1"/>
    <col min="21" max="21" width="22" bestFit="1" customWidth="1"/>
  </cols>
  <sheetData>
    <row r="1" spans="1:21" ht="15.75" customHeight="1" x14ac:dyDescent="0.3">
      <c r="A1" s="763" t="s">
        <v>0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</row>
    <row r="2" spans="1:21" ht="15.75" customHeight="1" x14ac:dyDescent="0.3">
      <c r="A2" s="763" t="s">
        <v>1</v>
      </c>
      <c r="B2" s="763"/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</row>
    <row r="3" spans="1:21" ht="15.75" customHeight="1" x14ac:dyDescent="0.3">
      <c r="A3" s="763" t="s">
        <v>327</v>
      </c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3"/>
    </row>
    <row r="4" spans="1:21" ht="15.75" customHeight="1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765" t="s">
        <v>2</v>
      </c>
      <c r="M4" s="766"/>
      <c r="N4" s="766"/>
      <c r="O4" s="766"/>
      <c r="P4" s="767"/>
      <c r="Q4" s="768" t="s">
        <v>3</v>
      </c>
      <c r="R4" s="766"/>
      <c r="S4" s="766"/>
      <c r="T4" s="766"/>
      <c r="U4" s="767"/>
    </row>
    <row r="5" spans="1:21" ht="15.75" customHeight="1" x14ac:dyDescent="0.3">
      <c r="A5" s="774" t="s">
        <v>4</v>
      </c>
      <c r="B5" s="764"/>
      <c r="C5" s="764"/>
      <c r="D5" s="764"/>
      <c r="E5" s="764"/>
      <c r="F5" s="764"/>
      <c r="G5" s="775"/>
      <c r="H5" s="5" t="s">
        <v>5</v>
      </c>
      <c r="I5" s="769" t="s">
        <v>6</v>
      </c>
      <c r="J5" s="760"/>
      <c r="K5" s="761"/>
      <c r="L5" s="762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5.75" customHeight="1" x14ac:dyDescent="0.3">
      <c r="A6" s="776"/>
      <c r="B6" s="760"/>
      <c r="C6" s="760"/>
      <c r="D6" s="760"/>
      <c r="E6" s="760"/>
      <c r="F6" s="760"/>
      <c r="G6" s="761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x14ac:dyDescent="0.2">
      <c r="A7" s="777"/>
      <c r="B7" s="760"/>
      <c r="C7" s="760"/>
      <c r="D7" s="760"/>
      <c r="E7" s="760"/>
      <c r="F7" s="760"/>
      <c r="G7" s="761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5.75" customHeight="1" x14ac:dyDescent="0.3">
      <c r="A17" s="778" t="s">
        <v>17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5.75" customHeight="1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ca="1">L19+L20</f>
        <v>34561256</v>
      </c>
      <c r="M18" s="35">
        <f ca="1">M19+M20</f>
        <v>23429514.48</v>
      </c>
      <c r="N18" s="35">
        <f ca="1">N19+N20</f>
        <v>18494632.819999989</v>
      </c>
      <c r="O18" s="35">
        <f t="shared" ref="O18:O26" ca="1" si="0">IF(L18&gt;0,N18*100/L18,0)</f>
        <v>53.512617770604137</v>
      </c>
      <c r="P18" s="35">
        <f t="shared" ref="P18:P26" ca="1" si="1">IF(M18&gt;0,N18*100/M18,0)</f>
        <v>78.937328538273604</v>
      </c>
      <c r="Q18" s="35">
        <f ca="1">Q19+Q20</f>
        <v>20970524.07</v>
      </c>
      <c r="R18" s="35">
        <f ca="1">R19+R20</f>
        <v>20781797</v>
      </c>
      <c r="S18" s="35">
        <f ca="1">S19+S20</f>
        <v>2859891.8099999987</v>
      </c>
      <c r="T18" s="35">
        <f t="shared" ref="T18:T26" ca="1" si="2">IF(Q18&gt;0,S18*100/Q18,0)</f>
        <v>13.637674482781769</v>
      </c>
      <c r="U18" s="35">
        <f t="shared" ref="U18:U26" ca="1" si="3">IF(R18&gt;0,S18*100/R18,0)</f>
        <v>13.761523173381006</v>
      </c>
    </row>
    <row r="19" spans="1:21" ht="15.75" customHeight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20" ca="1" si="4">L22+L25</f>
        <v>0</v>
      </c>
      <c r="M19" s="38">
        <f t="shared" ca="1" si="4"/>
        <v>0</v>
      </c>
      <c r="N19" s="38">
        <f t="shared" ca="1" si="4"/>
        <v>0</v>
      </c>
      <c r="O19" s="38">
        <f t="shared" ca="1" si="0"/>
        <v>0</v>
      </c>
      <c r="P19" s="38">
        <f t="shared" ca="1" si="1"/>
        <v>0</v>
      </c>
      <c r="Q19" s="38">
        <f t="shared" ref="Q19:S20" ca="1" si="5">Q22+Q25</f>
        <v>0</v>
      </c>
      <c r="R19" s="38">
        <f t="shared" ca="1" si="5"/>
        <v>0</v>
      </c>
      <c r="S19" s="38">
        <f t="shared" ca="1" si="5"/>
        <v>0</v>
      </c>
      <c r="T19" s="38">
        <f t="shared" ca="1" si="2"/>
        <v>0</v>
      </c>
      <c r="U19" s="38">
        <f t="shared" ca="1" si="3"/>
        <v>0</v>
      </c>
    </row>
    <row r="20" spans="1:21" ht="15.75" customHeight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ca="1" si="4"/>
        <v>34561256</v>
      </c>
      <c r="M20" s="39">
        <f t="shared" ca="1" si="4"/>
        <v>23429514.48</v>
      </c>
      <c r="N20" s="39">
        <f t="shared" ca="1" si="4"/>
        <v>18494632.819999989</v>
      </c>
      <c r="O20" s="39">
        <f t="shared" ca="1" si="0"/>
        <v>53.512617770604137</v>
      </c>
      <c r="P20" s="39">
        <f t="shared" ca="1" si="1"/>
        <v>78.937328538273604</v>
      </c>
      <c r="Q20" s="39">
        <f t="shared" ca="1" si="5"/>
        <v>20970524.07</v>
      </c>
      <c r="R20" s="39">
        <f t="shared" ca="1" si="5"/>
        <v>20781797</v>
      </c>
      <c r="S20" s="39">
        <f t="shared" ca="1" si="5"/>
        <v>2859891.8099999987</v>
      </c>
      <c r="T20" s="39">
        <f t="shared" ca="1" si="2"/>
        <v>13.637674482781769</v>
      </c>
      <c r="U20" s="39">
        <f t="shared" ca="1" si="3"/>
        <v>13.761523173381006</v>
      </c>
    </row>
    <row r="21" spans="1:21" ht="15.75" customHeight="1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ca="1">L22+L23</f>
        <v>22115856</v>
      </c>
      <c r="M21" s="47">
        <f ca="1">M22+M23</f>
        <v>23429514.48</v>
      </c>
      <c r="N21" s="47">
        <f ca="1">N22+N23</f>
        <v>18494632.819999989</v>
      </c>
      <c r="O21" s="47">
        <f t="shared" ca="1" si="0"/>
        <v>83.626122452596846</v>
      </c>
      <c r="P21" s="47">
        <f t="shared" ca="1" si="1"/>
        <v>78.937328538273604</v>
      </c>
      <c r="Q21" s="47">
        <f ca="1">Q22+Q23</f>
        <v>20970524.07</v>
      </c>
      <c r="R21" s="47">
        <f ca="1">R22+R23</f>
        <v>20781797</v>
      </c>
      <c r="S21" s="47">
        <f ca="1">S22+S23</f>
        <v>2859891.8099999987</v>
      </c>
      <c r="T21" s="47">
        <f t="shared" ca="1" si="2"/>
        <v>13.637674482781769</v>
      </c>
      <c r="U21" s="47">
        <f t="shared" ca="1" si="3"/>
        <v>13.761523173381006</v>
      </c>
    </row>
    <row r="22" spans="1:21" ht="15.75" customHeight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3" ca="1" si="6">L48+L63+L76+L98+L121+L143+L161+L190+L177+L270+L286+L307+L324+L337+L360+L379+L396+L417+L497+L517+L538+L559+L580+L603+L620+L646+L694+L718+L732+L764</f>
        <v>0</v>
      </c>
      <c r="M22" s="49">
        <f t="shared" ca="1" si="6"/>
        <v>0</v>
      </c>
      <c r="N22" s="49">
        <f t="shared" ca="1" si="6"/>
        <v>0</v>
      </c>
      <c r="O22" s="49">
        <f t="shared" ca="1" si="0"/>
        <v>0</v>
      </c>
      <c r="P22" s="49">
        <f t="shared" ca="1" si="1"/>
        <v>0</v>
      </c>
      <c r="Q22" s="49">
        <f t="shared" ref="Q22:S23" ca="1" si="7">Q48+Q63+Q76+Q98+Q121+Q143+Q161+Q190+Q177+Q270+Q286+Q307+Q324+Q337+Q360+Q379+Q396+Q417+Q497+Q517+Q538+Q559+Q580+Q603+Q620+Q646+Q694+Q718+Q732+Q764</f>
        <v>0</v>
      </c>
      <c r="R22" s="49">
        <f t="shared" ca="1" si="7"/>
        <v>0</v>
      </c>
      <c r="S22" s="49">
        <f t="shared" ca="1" si="7"/>
        <v>0</v>
      </c>
      <c r="T22" s="49">
        <f t="shared" ca="1" si="2"/>
        <v>0</v>
      </c>
      <c r="U22" s="49">
        <f t="shared" ca="1" si="3"/>
        <v>0</v>
      </c>
    </row>
    <row r="23" spans="1:21" ht="15.75" customHeight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ca="1" si="6"/>
        <v>22115856</v>
      </c>
      <c r="M23" s="47">
        <f t="shared" ca="1" si="6"/>
        <v>23429514.48</v>
      </c>
      <c r="N23" s="47">
        <f t="shared" ca="1" si="6"/>
        <v>18494632.819999989</v>
      </c>
      <c r="O23" s="47">
        <f t="shared" ca="1" si="0"/>
        <v>83.626122452596846</v>
      </c>
      <c r="P23" s="47">
        <f t="shared" ca="1" si="1"/>
        <v>78.937328538273604</v>
      </c>
      <c r="Q23" s="47">
        <f t="shared" ca="1" si="7"/>
        <v>20970524.07</v>
      </c>
      <c r="R23" s="47">
        <f t="shared" ca="1" si="7"/>
        <v>20781797</v>
      </c>
      <c r="S23" s="47">
        <f t="shared" ca="1" si="7"/>
        <v>2859891.8099999987</v>
      </c>
      <c r="T23" s="47">
        <f t="shared" ca="1" si="2"/>
        <v>13.637674482781769</v>
      </c>
      <c r="U23" s="47">
        <f t="shared" ca="1" si="3"/>
        <v>13.761523173381006</v>
      </c>
    </row>
    <row r="24" spans="1:21" ht="15.75" customHeight="1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ca="1">L25+L26</f>
        <v>12445400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t="shared" ca="1" si="2"/>
        <v>0</v>
      </c>
      <c r="U24" s="47">
        <f t="shared" ca="1" si="3"/>
        <v>0</v>
      </c>
    </row>
    <row r="25" spans="1:21" ht="15.75" customHeight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6" ca="1" si="8">L51+L66+L79+L101+L124+L146+L164+L193+L180+L273+L289+L310+L327+L340+L363+L382+L399+L420+L500+L520+L541+L562+L583+L606+L623+L649+L697+L721+L735+L767</f>
        <v>0</v>
      </c>
      <c r="M25" s="49">
        <f t="shared" ca="1" si="8"/>
        <v>0</v>
      </c>
      <c r="N25" s="49">
        <f t="shared" ca="1" si="8"/>
        <v>0</v>
      </c>
      <c r="O25" s="49">
        <f t="shared" ca="1" si="0"/>
        <v>0</v>
      </c>
      <c r="P25" s="49">
        <f t="shared" ca="1" si="1"/>
        <v>0</v>
      </c>
      <c r="Q25" s="49">
        <f t="shared" ref="Q25:S26" ca="1" si="9">Q51+Q66+Q79+Q101+Q124+Q146+Q164+Q193+Q180+Q273+Q289+Q310+Q327+Q340+Q363+Q382+Q399+Q420+Q500+Q520+Q541+Q562+Q583+Q606+Q623+Q649+Q697+Q721+Q735+Q767</f>
        <v>0</v>
      </c>
      <c r="R25" s="49">
        <f t="shared" ca="1" si="9"/>
        <v>0</v>
      </c>
      <c r="S25" s="49">
        <f t="shared" ca="1" si="9"/>
        <v>0</v>
      </c>
      <c r="T25" s="49">
        <f t="shared" ca="1" si="2"/>
        <v>0</v>
      </c>
      <c r="U25" s="49">
        <f t="shared" ca="1" si="3"/>
        <v>0</v>
      </c>
    </row>
    <row r="26" spans="1:21" ht="15.75" customHeight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ca="1" si="8"/>
        <v>12445400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7">
        <f t="shared" ca="1" si="9"/>
        <v>0</v>
      </c>
      <c r="R26" s="47">
        <f t="shared" ca="1" si="9"/>
        <v>0</v>
      </c>
      <c r="S26" s="47">
        <f t="shared" ca="1" si="9"/>
        <v>0</v>
      </c>
      <c r="T26" s="47">
        <f t="shared" ca="1" si="2"/>
        <v>0</v>
      </c>
      <c r="U26" s="47">
        <f t="shared" ca="1" si="3"/>
        <v>0</v>
      </c>
    </row>
    <row r="27" spans="1:21" ht="15.75" customHeight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5.75" customHeight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5.75" customHeight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x14ac:dyDescent="0.2">
      <c r="A30" s="777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ca="1">L45+L46</f>
        <v>3854031</v>
      </c>
      <c r="M44" s="79">
        <f ca="1">M45+M46</f>
        <v>4399304.4800000004</v>
      </c>
      <c r="N44" s="79">
        <f ca="1">N45+N46</f>
        <v>3708291.97</v>
      </c>
      <c r="O44" s="79">
        <f t="shared" ref="O44:O52" ca="1" si="10">IF(L44&gt;0,N44*100/L44,0)</f>
        <v>96.218529897657803</v>
      </c>
      <c r="P44" s="79">
        <f t="shared" ref="P44:P52" ca="1" si="11">IF(M44&gt;0,N44*100/M44,0)</f>
        <v>84.292687329520774</v>
      </c>
      <c r="Q44" s="79">
        <f ca="1">Q45+Q46</f>
        <v>0</v>
      </c>
      <c r="R44" s="79">
        <f ca="1">R45+R46</f>
        <v>0</v>
      </c>
      <c r="S44" s="79">
        <f ca="1">S45+S46</f>
        <v>0</v>
      </c>
      <c r="T44" s="79">
        <f t="shared" ref="T44:T52" ca="1" si="12">IF(Q44&gt;0,S44*100/Q44,0)</f>
        <v>0</v>
      </c>
      <c r="U44" s="79">
        <f t="shared" ref="U44:U52" ca="1" si="13">IF(R44&gt;0,S44*100/R44,0)</f>
        <v>0</v>
      </c>
    </row>
    <row r="45" spans="1:21" ht="18.75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ca="1" si="14"/>
        <v>3854031</v>
      </c>
      <c r="M46" s="83">
        <f t="shared" ca="1" si="14"/>
        <v>4399304.4800000004</v>
      </c>
      <c r="N46" s="83">
        <f t="shared" ca="1" si="14"/>
        <v>3708291.97</v>
      </c>
      <c r="O46" s="83">
        <f t="shared" ca="1" si="10"/>
        <v>96.218529897657803</v>
      </c>
      <c r="P46" s="83">
        <f t="shared" ca="1" si="11"/>
        <v>84.292687329520774</v>
      </c>
      <c r="Q46" s="83">
        <f t="shared" ca="1" si="15"/>
        <v>0</v>
      </c>
      <c r="R46" s="83">
        <f t="shared" ca="1" si="15"/>
        <v>0</v>
      </c>
      <c r="S46" s="83">
        <f t="shared" ca="1" si="15"/>
        <v>0</v>
      </c>
      <c r="T46" s="83">
        <f t="shared" ca="1" si="12"/>
        <v>0</v>
      </c>
      <c r="U46" s="83">
        <f t="shared" ca="1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ca="1">L48+L49</f>
        <v>3854031</v>
      </c>
      <c r="M47" s="47">
        <f ca="1">M48+M49</f>
        <v>4399304.4800000004</v>
      </c>
      <c r="N47" s="47">
        <f ca="1">N48+N49</f>
        <v>3708291.97</v>
      </c>
      <c r="O47" s="47">
        <f t="shared" ca="1" si="10"/>
        <v>96.218529897657803</v>
      </c>
      <c r="P47" s="47">
        <f t="shared" ca="1" si="11"/>
        <v>84.292687329520774</v>
      </c>
      <c r="Q47" s="47">
        <f ca="1">Q48+Q49</f>
        <v>0</v>
      </c>
      <c r="R47" s="47">
        <f ca="1">R48+R49</f>
        <v>0</v>
      </c>
      <c r="S47" s="47">
        <f ca="1">S48+S49</f>
        <v>0</v>
      </c>
      <c r="T47" s="47">
        <f t="shared" ca="1" si="12"/>
        <v>0</v>
      </c>
      <c r="U47" s="47">
        <f t="shared" ca="1" si="13"/>
        <v>0</v>
      </c>
    </row>
    <row r="48" spans="1:21" ht="18.75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3854031)</f>
        <v>3854031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4399304.48)</f>
        <v>4399304.4800000004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3708291.97)</f>
        <v>3708291.97</v>
      </c>
      <c r="O49" s="47">
        <f t="shared" ca="1" si="10"/>
        <v>96.218529897657803</v>
      </c>
      <c r="P49" s="47">
        <f t="shared" ca="1" si="11"/>
        <v>84.292687329520774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12"/>
        <v>0</v>
      </c>
      <c r="U49" s="47">
        <f t="shared" ca="1" si="13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 ca="1">Q51+Q52</f>
        <v>0</v>
      </c>
      <c r="R50" s="47">
        <f ca="1">R51+R52</f>
        <v>0</v>
      </c>
      <c r="S50" s="47">
        <f ca="1">S51+S52</f>
        <v>0</v>
      </c>
      <c r="T50" s="47">
        <f t="shared" ca="1" si="12"/>
        <v>0</v>
      </c>
      <c r="U50" s="47">
        <f t="shared" ca="1" si="13"/>
        <v>0</v>
      </c>
    </row>
    <row r="51" spans="1:21" ht="18.75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10"/>
        <v>0</v>
      </c>
      <c r="P52" s="47">
        <f t="shared" ca="1" si="11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12"/>
        <v>0</v>
      </c>
      <c r="U52" s="47">
        <f t="shared" ca="1" si="13"/>
        <v>0</v>
      </c>
    </row>
    <row r="53" spans="1:21" ht="18.75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ca="1">L60+L61</f>
        <v>5994600</v>
      </c>
      <c r="M59" s="106">
        <f ca="1">M60+M61</f>
        <v>6292740</v>
      </c>
      <c r="N59" s="106">
        <f ca="1">N60+N61</f>
        <v>5604043.2199999997</v>
      </c>
      <c r="O59" s="106">
        <f t="shared" ref="O59:O67" ca="1" si="16">IF(L59&gt;0,N59*100/L59,0)</f>
        <v>93.48485670436726</v>
      </c>
      <c r="P59" s="106">
        <f t="shared" ref="P59:P67" ca="1" si="17">IF(M59&gt;0,N59*100/M59,0)</f>
        <v>89.055693068520227</v>
      </c>
      <c r="Q59" s="106">
        <f ca="1">Q60+Q61</f>
        <v>0</v>
      </c>
      <c r="R59" s="106">
        <f ca="1">R60+R61</f>
        <v>0</v>
      </c>
      <c r="S59" s="106">
        <f ca="1">S60+S61</f>
        <v>0</v>
      </c>
      <c r="T59" s="106">
        <f t="shared" ref="T59:T67" ca="1" si="18">IF(Q59&gt;0,S59*100/Q59,0)</f>
        <v>0</v>
      </c>
      <c r="U59" s="106">
        <f t="shared" ref="U59:U67" ca="1" si="19">IF(R59&gt;0,S59*100/R59,0)</f>
        <v>0</v>
      </c>
    </row>
    <row r="60" spans="1:21" ht="18.75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1" ca="1" si="20">L63+L66</f>
        <v>0</v>
      </c>
      <c r="M60" s="109">
        <f t="shared" ca="1" si="20"/>
        <v>0</v>
      </c>
      <c r="N60" s="109">
        <f t="shared" ca="1" si="20"/>
        <v>0</v>
      </c>
      <c r="O60" s="109">
        <f t="shared" ca="1" si="16"/>
        <v>0</v>
      </c>
      <c r="P60" s="109">
        <f t="shared" ca="1" si="17"/>
        <v>0</v>
      </c>
      <c r="Q60" s="109">
        <f t="shared" ref="Q60:S61" ca="1" si="21">Q63+Q66</f>
        <v>0</v>
      </c>
      <c r="R60" s="109">
        <f t="shared" ca="1" si="21"/>
        <v>0</v>
      </c>
      <c r="S60" s="109">
        <f t="shared" ca="1" si="21"/>
        <v>0</v>
      </c>
      <c r="T60" s="110">
        <f t="shared" ca="1" si="18"/>
        <v>0</v>
      </c>
      <c r="U60" s="110">
        <f t="shared" ca="1" si="19"/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ca="1" si="20"/>
        <v>5994600</v>
      </c>
      <c r="M61" s="109">
        <f t="shared" ca="1" si="20"/>
        <v>6292740</v>
      </c>
      <c r="N61" s="109">
        <f t="shared" ca="1" si="20"/>
        <v>5604043.2199999997</v>
      </c>
      <c r="O61" s="109">
        <f t="shared" ca="1" si="16"/>
        <v>93.48485670436726</v>
      </c>
      <c r="P61" s="109">
        <f t="shared" ca="1" si="17"/>
        <v>89.055693068520227</v>
      </c>
      <c r="Q61" s="109">
        <f t="shared" ca="1" si="21"/>
        <v>0</v>
      </c>
      <c r="R61" s="109">
        <f t="shared" ca="1" si="21"/>
        <v>0</v>
      </c>
      <c r="S61" s="109">
        <f t="shared" ca="1" si="21"/>
        <v>0</v>
      </c>
      <c r="T61" s="109">
        <f t="shared" ca="1" si="18"/>
        <v>0</v>
      </c>
      <c r="U61" s="109">
        <f t="shared" ca="1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ca="1">L63+L64</f>
        <v>5994600</v>
      </c>
      <c r="M62" s="47">
        <f ca="1">M63+M64</f>
        <v>6292740</v>
      </c>
      <c r="N62" s="47">
        <f ca="1">N63+N64</f>
        <v>5604043.2199999997</v>
      </c>
      <c r="O62" s="47">
        <f t="shared" ca="1" si="16"/>
        <v>93.48485670436726</v>
      </c>
      <c r="P62" s="47">
        <f t="shared" ca="1" si="17"/>
        <v>89.055693068520227</v>
      </c>
      <c r="Q62" s="47">
        <f ca="1">Q63+Q64</f>
        <v>0</v>
      </c>
      <c r="R62" s="47">
        <f ca="1">R63+R64</f>
        <v>0</v>
      </c>
      <c r="S62" s="47">
        <f ca="1">S63+S64</f>
        <v>0</v>
      </c>
      <c r="T62" s="47">
        <f t="shared" ca="1" si="18"/>
        <v>0</v>
      </c>
      <c r="U62" s="47">
        <f t="shared" ca="1" si="19"/>
        <v>0</v>
      </c>
    </row>
    <row r="63" spans="1:21" ht="18.75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16"/>
        <v>0</v>
      </c>
      <c r="P63" s="47">
        <f t="shared" ca="1" si="17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18"/>
        <v>0</v>
      </c>
      <c r="U63" s="49">
        <f t="shared" ca="1" si="19"/>
        <v>0</v>
      </c>
    </row>
    <row r="64" spans="1:21" ht="18.75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5994600)</f>
        <v>5994600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6292740)</f>
        <v>6292740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5604043.22)</f>
        <v>5604043.2199999997</v>
      </c>
      <c r="O64" s="47">
        <f t="shared" ca="1" si="16"/>
        <v>93.48485670436726</v>
      </c>
      <c r="P64" s="47">
        <f t="shared" ca="1" si="17"/>
        <v>89.055693068520227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18"/>
        <v>0</v>
      </c>
      <c r="U64" s="47">
        <f t="shared" ca="1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 ca="1">Q66+Q67</f>
        <v>0</v>
      </c>
      <c r="R65" s="47">
        <f ca="1">R66+R67</f>
        <v>0</v>
      </c>
      <c r="S65" s="47">
        <f ca="1">S66+S67</f>
        <v>0</v>
      </c>
      <c r="T65" s="47">
        <f t="shared" ca="1" si="18"/>
        <v>0</v>
      </c>
      <c r="U65" s="47">
        <f t="shared" ca="1" si="19"/>
        <v>0</v>
      </c>
    </row>
    <row r="66" spans="1:21" ht="18.75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16"/>
        <v>0</v>
      </c>
      <c r="P66" s="47">
        <f t="shared" ca="1" si="17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18"/>
        <v>0</v>
      </c>
      <c r="U66" s="49">
        <f t="shared" ca="1" si="19"/>
        <v>0</v>
      </c>
    </row>
    <row r="67" spans="1:21" ht="18.75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0)</f>
        <v>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0)</f>
        <v>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0)</f>
        <v>0</v>
      </c>
      <c r="O67" s="111">
        <f t="shared" ca="1" si="16"/>
        <v>0</v>
      </c>
      <c r="P67" s="111">
        <f t="shared" ca="1" si="17"/>
        <v>0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18"/>
        <v>0</v>
      </c>
      <c r="U67" s="111">
        <f t="shared" ca="1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4</v>
      </c>
      <c r="J70" s="127">
        <f ca="1">J82</f>
        <v>0</v>
      </c>
      <c r="K70" s="35">
        <f ca="1">IF(I70&gt;0,J70*100/I70,0)</f>
        <v>0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121</v>
      </c>
      <c r="J71" s="127">
        <f ca="1">J83</f>
        <v>0</v>
      </c>
      <c r="K71" s="35">
        <f ca="1">IF(I71&gt;0,J71*100/I71,0)</f>
        <v>0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ca="1">L73+L74</f>
        <v>639900</v>
      </c>
      <c r="M72" s="132">
        <f ca="1">M73+M74</f>
        <v>639900</v>
      </c>
      <c r="N72" s="132">
        <f ca="1">N73+N74</f>
        <v>388386.39</v>
      </c>
      <c r="O72" s="132">
        <f t="shared" ref="O72:O80" ca="1" si="22">IF(L72&gt;0,N72*100/L72,0)</f>
        <v>60.69485700890764</v>
      </c>
      <c r="P72" s="132">
        <f t="shared" ref="P72:P80" ca="1" si="23">IF(M72&gt;0,N72*100/M72,0)</f>
        <v>60.69485700890764</v>
      </c>
      <c r="Q72" s="132">
        <f ca="1">Q73+Q74</f>
        <v>1525812</v>
      </c>
      <c r="R72" s="132">
        <f ca="1">R73+R74</f>
        <v>1525812</v>
      </c>
      <c r="S72" s="132">
        <f ca="1">S73+S74</f>
        <v>46282</v>
      </c>
      <c r="T72" s="132">
        <f t="shared" ref="T72:T80" ca="1" si="24">IF(Q72&gt;0,S72*100/Q72,0)</f>
        <v>3.0332701538590601</v>
      </c>
      <c r="U72" s="132">
        <f t="shared" ref="U72:U80" ca="1" si="25">IF(R72&gt;0,S72*100/R72,0)</f>
        <v>3.0332701538590601</v>
      </c>
    </row>
    <row r="73" spans="1:21" ht="18.75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4" ca="1" si="26">L76+L79</f>
        <v>0</v>
      </c>
      <c r="M73" s="47">
        <f t="shared" ca="1" si="26"/>
        <v>0</v>
      </c>
      <c r="N73" s="47">
        <f t="shared" ca="1" si="26"/>
        <v>0</v>
      </c>
      <c r="O73" s="47">
        <f t="shared" ca="1" si="22"/>
        <v>0</v>
      </c>
      <c r="P73" s="47">
        <f t="shared" ca="1" si="23"/>
        <v>0</v>
      </c>
      <c r="Q73" s="47">
        <f t="shared" ref="Q73:S74" ca="1" si="27">Q76+Q79</f>
        <v>0</v>
      </c>
      <c r="R73" s="47">
        <f t="shared" ca="1" si="27"/>
        <v>0</v>
      </c>
      <c r="S73" s="47">
        <f t="shared" ca="1" si="27"/>
        <v>0</v>
      </c>
      <c r="T73" s="49">
        <f t="shared" ca="1" si="24"/>
        <v>0</v>
      </c>
      <c r="U73" s="49">
        <f t="shared" ca="1" si="25"/>
        <v>0</v>
      </c>
    </row>
    <row r="74" spans="1:21" ht="18.75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ca="1" si="26"/>
        <v>639900</v>
      </c>
      <c r="M74" s="47">
        <f t="shared" ca="1" si="26"/>
        <v>639900</v>
      </c>
      <c r="N74" s="47">
        <f t="shared" ca="1" si="26"/>
        <v>388386.39</v>
      </c>
      <c r="O74" s="47">
        <f t="shared" ca="1" si="22"/>
        <v>60.69485700890764</v>
      </c>
      <c r="P74" s="47">
        <f t="shared" ca="1" si="23"/>
        <v>60.69485700890764</v>
      </c>
      <c r="Q74" s="47">
        <f t="shared" ca="1" si="27"/>
        <v>1525812</v>
      </c>
      <c r="R74" s="47">
        <f t="shared" ca="1" si="27"/>
        <v>1525812</v>
      </c>
      <c r="S74" s="47">
        <f t="shared" ca="1" si="27"/>
        <v>46282</v>
      </c>
      <c r="T74" s="47">
        <f t="shared" ca="1" si="24"/>
        <v>3.0332701538590601</v>
      </c>
      <c r="U74" s="47">
        <f t="shared" ca="1" si="25"/>
        <v>3.0332701538590601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ca="1">L76+L77</f>
        <v>639900</v>
      </c>
      <c r="M75" s="47">
        <f ca="1">M76+M77</f>
        <v>639900</v>
      </c>
      <c r="N75" s="47">
        <f ca="1">N76+N77</f>
        <v>388386.39</v>
      </c>
      <c r="O75" s="47">
        <f t="shared" ca="1" si="22"/>
        <v>60.69485700890764</v>
      </c>
      <c r="P75" s="47">
        <f t="shared" ca="1" si="23"/>
        <v>60.69485700890764</v>
      </c>
      <c r="Q75" s="47">
        <f ca="1">Q76+Q77</f>
        <v>1525812</v>
      </c>
      <c r="R75" s="47">
        <f ca="1">R76+R77</f>
        <v>1525812</v>
      </c>
      <c r="S75" s="47">
        <f ca="1">S76+S77</f>
        <v>46282</v>
      </c>
      <c r="T75" s="47">
        <f t="shared" ca="1" si="24"/>
        <v>3.0332701538590601</v>
      </c>
      <c r="U75" s="47">
        <f t="shared" ca="1" si="25"/>
        <v>3.0332701538590601</v>
      </c>
    </row>
    <row r="76" spans="1:21" ht="18.75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22"/>
        <v>0</v>
      </c>
      <c r="P76" s="47">
        <f t="shared" ca="1" si="23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24"/>
        <v>0</v>
      </c>
      <c r="U76" s="49">
        <f t="shared" ca="1" si="25"/>
        <v>0</v>
      </c>
    </row>
    <row r="77" spans="1:21" ht="18.75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639900)</f>
        <v>639900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639900)</f>
        <v>639900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388386.39)</f>
        <v>388386.39</v>
      </c>
      <c r="O77" s="47">
        <f t="shared" ca="1" si="22"/>
        <v>60.69485700890764</v>
      </c>
      <c r="P77" s="47">
        <f t="shared" ca="1" si="23"/>
        <v>60.69485700890764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46282)</f>
        <v>46282</v>
      </c>
      <c r="T77" s="47">
        <f t="shared" ca="1" si="24"/>
        <v>3.0332701538590601</v>
      </c>
      <c r="U77" s="47">
        <f t="shared" ca="1" si="25"/>
        <v>3.0332701538590601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t="shared" ca="1" si="24"/>
        <v>0</v>
      </c>
      <c r="U78" s="47">
        <f t="shared" ca="1" si="25"/>
        <v>0</v>
      </c>
    </row>
    <row r="79" spans="1:21" ht="18.75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22"/>
        <v>0</v>
      </c>
      <c r="P79" s="47">
        <f t="shared" ca="1" si="23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24"/>
        <v>0</v>
      </c>
      <c r="U79" s="49">
        <f t="shared" ca="1" si="25"/>
        <v>0</v>
      </c>
    </row>
    <row r="80" spans="1:21" ht="18.75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22"/>
        <v>0</v>
      </c>
      <c r="P80" s="47">
        <f t="shared" ca="1" si="23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24"/>
        <v>0</v>
      </c>
      <c r="U80" s="47">
        <f t="shared" ca="1" si="25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4</v>
      </c>
      <c r="J82" s="147">
        <f ca="1">J84+J86+J88</f>
        <v>0</v>
      </c>
      <c r="K82" s="148">
        <f t="shared" ref="K82:K90" ca="1" si="28">IF(I82&gt;0,J82*100/I82,0)</f>
        <v>0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121</v>
      </c>
      <c r="J83" s="147">
        <f ca="1">J85+J87+J89</f>
        <v>0</v>
      </c>
      <c r="K83" s="148">
        <f t="shared" ca="1" si="28"/>
        <v>0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0)</f>
        <v>0</v>
      </c>
      <c r="K84" s="153">
        <f t="shared" ca="1" si="28"/>
        <v>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0)</f>
        <v>0</v>
      </c>
      <c r="K85" s="153">
        <f t="shared" ca="1" si="28"/>
        <v>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0)</f>
        <v>0</v>
      </c>
      <c r="K86" s="153">
        <f t="shared" ca="1" si="28"/>
        <v>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0)</f>
        <v>0</v>
      </c>
      <c r="K87" s="153">
        <f t="shared" ca="1" si="28"/>
        <v>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2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2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2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ca="1">I108</f>
        <v>297</v>
      </c>
      <c r="J92" s="127">
        <f ca="1">J108</f>
        <v>177</v>
      </c>
      <c r="K92" s="35">
        <f ca="1">IF(I92&gt;0,J92*100/I92,0)</f>
        <v>59.595959595959599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ca="1">I109</f>
        <v>99</v>
      </c>
      <c r="J93" s="127">
        <f ca="1">J109</f>
        <v>59</v>
      </c>
      <c r="K93" s="35">
        <f ca="1">IF(I93&gt;0,J93*100/I93,0)</f>
        <v>59.595959595959599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835758</v>
      </c>
      <c r="R94" s="132">
        <f ca="1">R95+R96</f>
        <v>835758</v>
      </c>
      <c r="S94" s="132">
        <f ca="1">S95+S96</f>
        <v>128403</v>
      </c>
      <c r="T94" s="132">
        <f t="shared" ref="T94:T102" ca="1" si="31">IF(Q94&gt;0,S94*100/Q94,0)</f>
        <v>15.363657900971333</v>
      </c>
      <c r="U94" s="132">
        <f t="shared" ref="U94:U102" ca="1" si="32">IF(R94&gt;0,S94*100/R94,0)</f>
        <v>15.363657900971333</v>
      </c>
    </row>
    <row r="95" spans="1:21" ht="18.75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6" ca="1" si="33">L98+L101</f>
        <v>0</v>
      </c>
      <c r="M95" s="49">
        <f t="shared" ca="1" si="33"/>
        <v>0</v>
      </c>
      <c r="N95" s="49">
        <f t="shared" ca="1" si="33"/>
        <v>0</v>
      </c>
      <c r="O95" s="49">
        <f t="shared" ca="1" si="29"/>
        <v>0</v>
      </c>
      <c r="P95" s="49">
        <f t="shared" ca="1" si="30"/>
        <v>0</v>
      </c>
      <c r="Q95" s="49">
        <f t="shared" ref="Q95:S96" ca="1" si="34">Q98+Q101</f>
        <v>0</v>
      </c>
      <c r="R95" s="49">
        <f t="shared" ca="1" si="34"/>
        <v>0</v>
      </c>
      <c r="S95" s="49">
        <f t="shared" ca="1" si="34"/>
        <v>0</v>
      </c>
      <c r="T95" s="49">
        <f t="shared" ca="1" si="31"/>
        <v>0</v>
      </c>
      <c r="U95" s="49">
        <f t="shared" ca="1" si="32"/>
        <v>0</v>
      </c>
    </row>
    <row r="96" spans="1:21" ht="18.75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835758</v>
      </c>
      <c r="R96" s="47">
        <f t="shared" ca="1" si="34"/>
        <v>835758</v>
      </c>
      <c r="S96" s="47">
        <f t="shared" ca="1" si="34"/>
        <v>128403</v>
      </c>
      <c r="T96" s="47">
        <f t="shared" ca="1" si="31"/>
        <v>15.363657900971333</v>
      </c>
      <c r="U96" s="47">
        <f t="shared" ca="1" si="32"/>
        <v>15.363657900971333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835758</v>
      </c>
      <c r="R97" s="47">
        <f ca="1">R98+R99</f>
        <v>835758</v>
      </c>
      <c r="S97" s="47">
        <f ca="1">S98+S99</f>
        <v>128403</v>
      </c>
      <c r="T97" s="47">
        <f t="shared" ca="1" si="31"/>
        <v>15.363657900971333</v>
      </c>
      <c r="U97" s="47">
        <f t="shared" ca="1" si="32"/>
        <v>15.363657900971333</v>
      </c>
    </row>
    <row r="98" spans="1:21" ht="18.75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29"/>
        <v>0</v>
      </c>
      <c r="P98" s="49">
        <f t="shared" ca="1" si="30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31"/>
        <v>0</v>
      </c>
      <c r="U98" s="49">
        <f t="shared" ca="1" si="32"/>
        <v>0</v>
      </c>
    </row>
    <row r="99" spans="1:21" ht="18.75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0)</f>
        <v>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128403)</f>
        <v>128403</v>
      </c>
      <c r="T99" s="47">
        <f t="shared" ca="1" si="31"/>
        <v>15.363657900971333</v>
      </c>
      <c r="U99" s="47">
        <f t="shared" ca="1" si="32"/>
        <v>15.363657900971333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 ca="1">Q101+Q102</f>
        <v>0</v>
      </c>
      <c r="R100" s="47">
        <f ca="1">R101+R102</f>
        <v>0</v>
      </c>
      <c r="S100" s="47">
        <f ca="1">S101+S102</f>
        <v>0</v>
      </c>
      <c r="T100" s="47">
        <f t="shared" ca="1" si="31"/>
        <v>0</v>
      </c>
      <c r="U100" s="47">
        <f t="shared" ca="1" si="32"/>
        <v>0</v>
      </c>
    </row>
    <row r="101" spans="1:21" ht="18.75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29"/>
        <v>0</v>
      </c>
      <c r="P101" s="49">
        <f t="shared" ca="1" si="30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31"/>
        <v>0</v>
      </c>
      <c r="U101" s="49">
        <f t="shared" ca="1" si="32"/>
        <v>0</v>
      </c>
    </row>
    <row r="102" spans="1:21" ht="18.75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29"/>
        <v>0</v>
      </c>
      <c r="P102" s="47">
        <f t="shared" ca="1" si="30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31"/>
        <v>0</v>
      </c>
      <c r="U102" s="47">
        <f t="shared" ca="1" si="32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177)</f>
        <v>177</v>
      </c>
      <c r="K108" s="47">
        <f ca="1">IF(I108&gt;0,J108*100/I108,0)</f>
        <v>59.595959595959599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59)</f>
        <v>59</v>
      </c>
      <c r="K109" s="47">
        <f ca="1">IF(I109&gt;0,J109*100/I109,0)</f>
        <v>59.595959595959599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0)</f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0)</f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255</v>
      </c>
      <c r="J116" s="127">
        <f ca="1">J127</f>
        <v>180</v>
      </c>
      <c r="K116" s="35">
        <f ca="1">IF(I116&gt;0,J116*100/I116,0)</f>
        <v>70.588235294117652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6161560</v>
      </c>
      <c r="R117" s="132">
        <f ca="1">R118+R119</f>
        <v>6161560</v>
      </c>
      <c r="S117" s="132">
        <f ca="1">S118+S119</f>
        <v>1131714.76</v>
      </c>
      <c r="T117" s="132">
        <f t="shared" ref="T117:T125" ca="1" si="37">IF(Q117&gt;0,S117*100/Q117,0)</f>
        <v>18.367341387570679</v>
      </c>
      <c r="U117" s="132">
        <f t="shared" ref="U117:U125" ca="1" si="38">IF(R117&gt;0,S117*100/R117,0)</f>
        <v>18.367341387570679</v>
      </c>
    </row>
    <row r="118" spans="1:21" ht="18.75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9" ca="1" si="39">L121+L124</f>
        <v>0</v>
      </c>
      <c r="M118" s="49">
        <f t="shared" ca="1" si="39"/>
        <v>0</v>
      </c>
      <c r="N118" s="49">
        <f t="shared" ca="1" si="39"/>
        <v>0</v>
      </c>
      <c r="O118" s="49">
        <f t="shared" ca="1" si="35"/>
        <v>0</v>
      </c>
      <c r="P118" s="49">
        <f t="shared" ca="1" si="36"/>
        <v>0</v>
      </c>
      <c r="Q118" s="49">
        <f t="shared" ref="Q118:S119" ca="1" si="40">Q121+Q124</f>
        <v>0</v>
      </c>
      <c r="R118" s="49">
        <f t="shared" ca="1" si="40"/>
        <v>0</v>
      </c>
      <c r="S118" s="49">
        <f t="shared" ca="1" si="40"/>
        <v>0</v>
      </c>
      <c r="T118" s="49">
        <f t="shared" ca="1" si="37"/>
        <v>0</v>
      </c>
      <c r="U118" s="49">
        <f t="shared" ca="1" si="38"/>
        <v>0</v>
      </c>
    </row>
    <row r="119" spans="1:21" ht="18.75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6161560</v>
      </c>
      <c r="R119" s="47">
        <f t="shared" ca="1" si="40"/>
        <v>6161560</v>
      </c>
      <c r="S119" s="47">
        <f t="shared" ca="1" si="40"/>
        <v>1131714.76</v>
      </c>
      <c r="T119" s="47">
        <f t="shared" ca="1" si="37"/>
        <v>18.367341387570679</v>
      </c>
      <c r="U119" s="47">
        <f t="shared" ca="1" si="38"/>
        <v>18.367341387570679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6161560</v>
      </c>
      <c r="R120" s="47">
        <f ca="1">R121+R122</f>
        <v>6161560</v>
      </c>
      <c r="S120" s="47">
        <f ca="1">S121+S122</f>
        <v>1131714.76</v>
      </c>
      <c r="T120" s="47">
        <f t="shared" ca="1" si="37"/>
        <v>18.367341387570679</v>
      </c>
      <c r="U120" s="47">
        <f t="shared" ca="1" si="38"/>
        <v>18.367341387570679</v>
      </c>
    </row>
    <row r="121" spans="1:21" ht="18.75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35"/>
        <v>0</v>
      </c>
      <c r="P121" s="49">
        <f t="shared" ca="1" si="36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37"/>
        <v>0</v>
      </c>
      <c r="U121" s="49">
        <f t="shared" ca="1" si="38"/>
        <v>0</v>
      </c>
    </row>
    <row r="122" spans="1:21" ht="18.75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6161560)</f>
        <v>6161560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6161560)</f>
        <v>6161560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1131714.76)</f>
        <v>1131714.76</v>
      </c>
      <c r="T122" s="47">
        <f t="shared" ca="1" si="37"/>
        <v>18.367341387570679</v>
      </c>
      <c r="U122" s="47">
        <f t="shared" ca="1" si="38"/>
        <v>18.367341387570679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t="shared" ca="1" si="37"/>
        <v>0</v>
      </c>
      <c r="U123" s="47">
        <f t="shared" ca="1" si="38"/>
        <v>0</v>
      </c>
    </row>
    <row r="124" spans="1:21" ht="18.75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35"/>
        <v>0</v>
      </c>
      <c r="P124" s="49">
        <f t="shared" ca="1" si="36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37"/>
        <v>0</v>
      </c>
      <c r="U124" s="49">
        <f t="shared" ca="1" si="38"/>
        <v>0</v>
      </c>
    </row>
    <row r="125" spans="1:21" ht="18.75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0)</f>
        <v>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0)</f>
        <v>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5" s="47">
        <f t="shared" ca="1" si="35"/>
        <v>0</v>
      </c>
      <c r="P125" s="47">
        <f t="shared" ca="1" si="36"/>
        <v>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0)</f>
        <v>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0)</f>
        <v>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37"/>
        <v>0</v>
      </c>
      <c r="U125" s="47">
        <f t="shared" ca="1" si="38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180)</f>
        <v>180</v>
      </c>
      <c r="K127" s="47">
        <f ca="1">IF(I127&gt;0,J127*100/I127,0)</f>
        <v>70.588235294117652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3)</f>
        <v>3</v>
      </c>
      <c r="K128" s="47">
        <f ca="1">IF(I128&gt;0,J128*100/I128,0)</f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130)</f>
        <v>130</v>
      </c>
      <c r="K129" s="47">
        <f ca="1">IF(I129&gt;0,J129*100/I129,0)</f>
        <v>57.777777777777779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3)</f>
        <v>3</v>
      </c>
      <c r="K130" s="47">
        <f ca="1">IF(I130&gt;0,J130*100/I130,0)</f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5</v>
      </c>
      <c r="J136" s="127">
        <f ca="1">J154</f>
        <v>0</v>
      </c>
      <c r="K136" s="35">
        <f ca="1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200</v>
      </c>
      <c r="J137" s="127">
        <f ca="1">J152</f>
        <v>40</v>
      </c>
      <c r="K137" s="35">
        <f ca="1">IF(I137&gt;0,J137*100/I137,0)</f>
        <v>20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20</v>
      </c>
      <c r="J138" s="127">
        <f ca="1">J153</f>
        <v>4</v>
      </c>
      <c r="K138" s="35">
        <f ca="1">IF(I138&gt;0,J138*100/I138,0)</f>
        <v>20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ca="1">L140+L141</f>
        <v>597100</v>
      </c>
      <c r="M139" s="132">
        <f ca="1">M140+M141</f>
        <v>562100</v>
      </c>
      <c r="N139" s="132">
        <f ca="1">N140+N141</f>
        <v>327815.49</v>
      </c>
      <c r="O139" s="132">
        <f t="shared" ref="O139:O147" ca="1" si="41">IF(L139&gt;0,N139*100/L139,0)</f>
        <v>54.901271143861997</v>
      </c>
      <c r="P139" s="132">
        <f t="shared" ref="P139:P147" ca="1" si="42">IF(M139&gt;0,N139*100/M139,0)</f>
        <v>58.319781177726384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1" ca="1" si="45">L143+L146</f>
        <v>0</v>
      </c>
      <c r="M140" s="47">
        <f t="shared" ca="1" si="45"/>
        <v>0</v>
      </c>
      <c r="N140" s="47">
        <f t="shared" ca="1" si="45"/>
        <v>0</v>
      </c>
      <c r="O140" s="47">
        <f t="shared" ca="1" si="41"/>
        <v>0</v>
      </c>
      <c r="P140" s="47">
        <f t="shared" ca="1" si="42"/>
        <v>0</v>
      </c>
      <c r="Q140" s="47">
        <f t="shared" ref="Q140:S141" ca="1" si="46">Q143+Q146</f>
        <v>0</v>
      </c>
      <c r="R140" s="47">
        <f t="shared" ca="1" si="46"/>
        <v>0</v>
      </c>
      <c r="S140" s="47">
        <f t="shared" ca="1" si="46"/>
        <v>0</v>
      </c>
      <c r="T140" s="49">
        <f t="shared" ca="1" si="43"/>
        <v>0</v>
      </c>
      <c r="U140" s="49">
        <f t="shared" ca="1" si="44"/>
        <v>0</v>
      </c>
    </row>
    <row r="141" spans="1:21" ht="18.75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ca="1" si="45"/>
        <v>597100</v>
      </c>
      <c r="M141" s="47">
        <f t="shared" ca="1" si="45"/>
        <v>562100</v>
      </c>
      <c r="N141" s="47">
        <f t="shared" ca="1" si="45"/>
        <v>327815.49</v>
      </c>
      <c r="O141" s="47">
        <f t="shared" ca="1" si="41"/>
        <v>54.901271143861997</v>
      </c>
      <c r="P141" s="47">
        <f t="shared" ca="1" si="42"/>
        <v>58.319781177726384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ca="1">L143+L144</f>
        <v>597100</v>
      </c>
      <c r="M142" s="47">
        <f ca="1">M143+M144</f>
        <v>562100</v>
      </c>
      <c r="N142" s="47">
        <f ca="1">N143+N144</f>
        <v>327815.49</v>
      </c>
      <c r="O142" s="47">
        <f t="shared" ca="1" si="41"/>
        <v>54.901271143861997</v>
      </c>
      <c r="P142" s="47">
        <f t="shared" ca="1" si="42"/>
        <v>58.319781177726384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41"/>
        <v>0</v>
      </c>
      <c r="P143" s="47">
        <f t="shared" ca="1" si="42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43"/>
        <v>0</v>
      </c>
      <c r="U143" s="49">
        <f t="shared" ca="1" si="44"/>
        <v>0</v>
      </c>
    </row>
    <row r="144" spans="1:21" ht="18.75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327815.49)</f>
        <v>327815.49</v>
      </c>
      <c r="O144" s="47">
        <f t="shared" ca="1" si="41"/>
        <v>54.901271143861997</v>
      </c>
      <c r="P144" s="47">
        <f t="shared" ca="1" si="42"/>
        <v>58.319781177726384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0)</f>
        <v>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0)</f>
        <v>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t="shared" ca="1" si="43"/>
        <v>0</v>
      </c>
      <c r="U145" s="47">
        <f t="shared" ca="1" si="44"/>
        <v>0</v>
      </c>
    </row>
    <row r="146" spans="1:21" ht="18.75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41"/>
        <v>0</v>
      </c>
      <c r="P146" s="47">
        <f t="shared" ca="1" si="42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43"/>
        <v>0</v>
      </c>
      <c r="U146" s="49">
        <f t="shared" ca="1" si="44"/>
        <v>0</v>
      </c>
    </row>
    <row r="147" spans="1:21" ht="18.75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41"/>
        <v>0</v>
      </c>
      <c r="P147" s="47">
        <f t="shared" ca="1" si="42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43"/>
        <v>0</v>
      </c>
      <c r="U147" s="47">
        <f t="shared" ca="1" si="4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10)</f>
        <v>10</v>
      </c>
      <c r="K150" s="47">
        <f ca="1">IF(I150&gt;0,J150*100/I150,0)</f>
        <v>20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1)</f>
        <v>1</v>
      </c>
      <c r="K151" s="47">
        <f ca="1">IF(I151&gt;0,J151*100/I151,0)</f>
        <v>20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40)</f>
        <v>40</v>
      </c>
      <c r="K152" s="47">
        <f ca="1">IF(I152&gt;0,J152*100/I152,0)</f>
        <v>20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4)</f>
        <v>4</v>
      </c>
      <c r="K153" s="47">
        <f ca="1">IF(I153&gt;0,J153*100/I153,0)</f>
        <v>20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ca="1">IF(I154&gt;0,J154*100/I154,0)</f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ca="1">L158+L159</f>
        <v>6000</v>
      </c>
      <c r="M157" s="132">
        <f ca="1">M158+M159</f>
        <v>64480</v>
      </c>
      <c r="N157" s="132">
        <f ca="1">N158+N159</f>
        <v>2250</v>
      </c>
      <c r="O157" s="132">
        <f t="shared" ref="O157:O165" ca="1" si="47">IF(L157&gt;0,N157*100/L157,0)</f>
        <v>37.5</v>
      </c>
      <c r="P157" s="132">
        <f t="shared" ref="P157:P165" ca="1" si="48">IF(M157&gt;0,N157*100/M157,0)</f>
        <v>3.4894540942928041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9" ca="1" si="51">L161+L164</f>
        <v>0</v>
      </c>
      <c r="M158" s="47">
        <f t="shared" ca="1" si="51"/>
        <v>0</v>
      </c>
      <c r="N158" s="47">
        <f t="shared" ca="1" si="51"/>
        <v>0</v>
      </c>
      <c r="O158" s="47">
        <f t="shared" ca="1" si="47"/>
        <v>0</v>
      </c>
      <c r="P158" s="47">
        <f t="shared" ca="1" si="48"/>
        <v>0</v>
      </c>
      <c r="Q158" s="47">
        <f t="shared" ref="Q158:S159" ca="1" si="52">Q161+Q164</f>
        <v>0</v>
      </c>
      <c r="R158" s="47">
        <f t="shared" ca="1" si="52"/>
        <v>0</v>
      </c>
      <c r="S158" s="47">
        <f t="shared" ca="1" si="52"/>
        <v>0</v>
      </c>
      <c r="T158" s="49">
        <f t="shared" ca="1" si="49"/>
        <v>0</v>
      </c>
      <c r="U158" s="49">
        <f t="shared" ca="1" si="50"/>
        <v>0</v>
      </c>
    </row>
    <row r="159" spans="1:21" ht="18.75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ca="1" si="51"/>
        <v>6000</v>
      </c>
      <c r="M159" s="47">
        <f t="shared" ca="1" si="51"/>
        <v>64480</v>
      </c>
      <c r="N159" s="47">
        <f t="shared" ca="1" si="51"/>
        <v>2250</v>
      </c>
      <c r="O159" s="47">
        <f t="shared" ca="1" si="47"/>
        <v>37.5</v>
      </c>
      <c r="P159" s="47">
        <f t="shared" ca="1" si="48"/>
        <v>3.4894540942928041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ca="1">L161+L162</f>
        <v>6000</v>
      </c>
      <c r="M160" s="47">
        <f ca="1">M161+M162</f>
        <v>64480</v>
      </c>
      <c r="N160" s="47">
        <f ca="1">N161+N162</f>
        <v>2250</v>
      </c>
      <c r="O160" s="47">
        <f t="shared" ca="1" si="47"/>
        <v>37.5</v>
      </c>
      <c r="P160" s="47">
        <f t="shared" ca="1" si="48"/>
        <v>3.4894540942928041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47"/>
        <v>0</v>
      </c>
      <c r="P161" s="47">
        <f t="shared" ca="1" si="48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49"/>
        <v>0</v>
      </c>
      <c r="U161" s="49">
        <f t="shared" ca="1" si="50"/>
        <v>0</v>
      </c>
    </row>
    <row r="162" spans="1:21" ht="18.75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6000)</f>
        <v>6000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64480)</f>
        <v>64480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2250)</f>
        <v>2250</v>
      </c>
      <c r="O162" s="47">
        <f t="shared" ca="1" si="47"/>
        <v>37.5</v>
      </c>
      <c r="P162" s="47">
        <f t="shared" ca="1" si="48"/>
        <v>3.4894540942928041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49"/>
        <v>0</v>
      </c>
      <c r="U162" s="47">
        <f t="shared" ca="1" si="50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 ca="1">Q164+Q165</f>
        <v>0</v>
      </c>
      <c r="R163" s="47">
        <f ca="1">R164+R165</f>
        <v>0</v>
      </c>
      <c r="S163" s="47">
        <f ca="1">S164+S165</f>
        <v>0</v>
      </c>
      <c r="T163" s="47">
        <f t="shared" ca="1" si="49"/>
        <v>0</v>
      </c>
      <c r="U163" s="47">
        <f t="shared" ca="1" si="50"/>
        <v>0</v>
      </c>
    </row>
    <row r="164" spans="1:21" ht="18.75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47"/>
        <v>0</v>
      </c>
      <c r="P164" s="47">
        <f t="shared" ca="1" si="48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49"/>
        <v>0</v>
      </c>
      <c r="U164" s="49">
        <f t="shared" ca="1" si="50"/>
        <v>0</v>
      </c>
    </row>
    <row r="165" spans="1:21" ht="18.75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47"/>
        <v>0</v>
      </c>
      <c r="P165" s="47">
        <f t="shared" ca="1" si="48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49"/>
        <v>0</v>
      </c>
      <c r="U165" s="47">
        <f t="shared" ca="1" si="50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ca="1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ca="1">I167</f>
        <v>30</v>
      </c>
      <c r="J168" s="152">
        <v>0</v>
      </c>
      <c r="K168" s="47">
        <f ca="1">IF(I168&gt;0,J168*100/I168,0)</f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ca="1">I168</f>
        <v>30</v>
      </c>
      <c r="J169" s="197">
        <v>0</v>
      </c>
      <c r="K169" s="111">
        <f ca="1">IF(I169&gt;0,J169*100/I169,0)</f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147</v>
      </c>
      <c r="J172" s="214">
        <f ca="1">J183+J184</f>
        <v>77</v>
      </c>
      <c r="K172" s="215">
        <f ca="1">IF(I172&gt;0,J172*100/I172,0)</f>
        <v>52.38095238095238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ca="1">L174+L175</f>
        <v>215490</v>
      </c>
      <c r="M173" s="132">
        <f ca="1">M174+M175</f>
        <v>438690</v>
      </c>
      <c r="N173" s="132">
        <f ca="1">N174+N175</f>
        <v>408228</v>
      </c>
      <c r="O173" s="132">
        <f t="shared" ref="O173:O181" ca="1" si="53">IF(L173&gt;0,N173*100/L173,0)</f>
        <v>189.44173743561186</v>
      </c>
      <c r="P173" s="132">
        <f t="shared" ref="P173:P181" ca="1" si="54">IF(M173&gt;0,N173*100/M173,0)</f>
        <v>93.056144430007521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5" ca="1" si="57">L177+L180</f>
        <v>0</v>
      </c>
      <c r="M174" s="47">
        <f t="shared" ca="1" si="57"/>
        <v>0</v>
      </c>
      <c r="N174" s="47">
        <f t="shared" ca="1" si="57"/>
        <v>0</v>
      </c>
      <c r="O174" s="47">
        <f t="shared" ca="1" si="53"/>
        <v>0</v>
      </c>
      <c r="P174" s="47">
        <f t="shared" ca="1" si="54"/>
        <v>0</v>
      </c>
      <c r="Q174" s="47">
        <f t="shared" ref="Q174:S175" ca="1" si="58">Q177+Q180</f>
        <v>0</v>
      </c>
      <c r="R174" s="47">
        <f t="shared" ca="1" si="58"/>
        <v>0</v>
      </c>
      <c r="S174" s="47">
        <f t="shared" ca="1" si="58"/>
        <v>0</v>
      </c>
      <c r="T174" s="49">
        <f t="shared" ca="1" si="55"/>
        <v>0</v>
      </c>
      <c r="U174" s="49">
        <f t="shared" ca="1" si="56"/>
        <v>0</v>
      </c>
    </row>
    <row r="175" spans="1:21" ht="18.75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ca="1" si="57"/>
        <v>215490</v>
      </c>
      <c r="M175" s="47">
        <f t="shared" ca="1" si="57"/>
        <v>438690</v>
      </c>
      <c r="N175" s="47">
        <f t="shared" ca="1" si="57"/>
        <v>408228</v>
      </c>
      <c r="O175" s="47">
        <f t="shared" ca="1" si="53"/>
        <v>189.44173743561186</v>
      </c>
      <c r="P175" s="47">
        <f t="shared" ca="1" si="54"/>
        <v>93.056144430007521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ca="1">L177+L178</f>
        <v>215490</v>
      </c>
      <c r="M176" s="47">
        <f ca="1">M177+M178</f>
        <v>438690</v>
      </c>
      <c r="N176" s="47">
        <f ca="1">N177+N178</f>
        <v>408228</v>
      </c>
      <c r="O176" s="47">
        <f t="shared" ca="1" si="53"/>
        <v>189.44173743561186</v>
      </c>
      <c r="P176" s="47">
        <f t="shared" ca="1" si="54"/>
        <v>93.056144430007521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53"/>
        <v>0</v>
      </c>
      <c r="P177" s="47">
        <f t="shared" ca="1" si="54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55"/>
        <v>0</v>
      </c>
      <c r="U177" s="49">
        <f t="shared" ca="1" si="56"/>
        <v>0</v>
      </c>
    </row>
    <row r="178" spans="1:21" ht="18.75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408228)</f>
        <v>408228</v>
      </c>
      <c r="O178" s="47">
        <f t="shared" ca="1" si="53"/>
        <v>189.44173743561186</v>
      </c>
      <c r="P178" s="47">
        <f t="shared" ca="1" si="54"/>
        <v>93.056144430007521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 ca="1">Q180+Q181</f>
        <v>0</v>
      </c>
      <c r="R179" s="47">
        <f ca="1">R180+R181</f>
        <v>0</v>
      </c>
      <c r="S179" s="47">
        <f ca="1">S180+S181</f>
        <v>0</v>
      </c>
      <c r="T179" s="47">
        <f t="shared" ca="1" si="55"/>
        <v>0</v>
      </c>
      <c r="U179" s="47">
        <f t="shared" ca="1" si="56"/>
        <v>0</v>
      </c>
    </row>
    <row r="180" spans="1:21" ht="18.75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53"/>
        <v>0</v>
      </c>
      <c r="P180" s="47">
        <f t="shared" ca="1" si="54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55"/>
        <v>0</v>
      </c>
      <c r="U180" s="49">
        <f t="shared" ca="1" si="56"/>
        <v>0</v>
      </c>
    </row>
    <row r="181" spans="1:21" ht="18.75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53"/>
        <v>0</v>
      </c>
      <c r="P181" s="47">
        <f t="shared" ca="1" si="54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55"/>
        <v>0</v>
      </c>
      <c r="U181" s="47">
        <f t="shared" ca="1" si="5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77)</f>
        <v>77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ca="1">IF(I183&gt;0,J183*100/I183,0)</f>
        <v>100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>IF(I184&gt;0,J184*100/I184,0)</f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ca="1">I230+I231</f>
        <v>0</v>
      </c>
      <c r="J185" s="220">
        <f ca="1">J230+J231</f>
        <v>0</v>
      </c>
      <c r="K185" s="221">
        <f ca="1">IF(I185&gt;0,J185*100/I185,0)</f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ca="1">L187+L188</f>
        <v>2056000</v>
      </c>
      <c r="M186" s="132">
        <f ca="1">M187+M188</f>
        <v>1910600</v>
      </c>
      <c r="N186" s="132">
        <f ca="1">N187+N188</f>
        <v>1305751.28999999</v>
      </c>
      <c r="O186" s="132">
        <f t="shared" ref="O186:O194" ca="1" si="59">IF(L186&gt;0,N186*100/L186,0)</f>
        <v>63.509303988326366</v>
      </c>
      <c r="P186" s="132">
        <f t="shared" ref="P186:P194" ca="1" si="60">IF(M186&gt;0,N186*100/M186,0)</f>
        <v>68.342473045116193</v>
      </c>
      <c r="Q186" s="132">
        <f ca="1">Q187+Q188</f>
        <v>903000</v>
      </c>
      <c r="R186" s="132">
        <f ca="1">R187+R188</f>
        <v>923000</v>
      </c>
      <c r="S186" s="132">
        <f ca="1">S187+S188</f>
        <v>42000</v>
      </c>
      <c r="T186" s="132">
        <f t="shared" ref="T186:T194" ca="1" si="61">IF(Q186&gt;0,S186*100/Q186,0)</f>
        <v>4.6511627906976747</v>
      </c>
      <c r="U186" s="132">
        <f t="shared" ref="U186:U194" ca="1" si="62">IF(R186&gt;0,S186*100/R186,0)</f>
        <v>4.5503791982665218</v>
      </c>
    </row>
    <row r="187" spans="1:21" ht="18.75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8" ca="1" si="63">L190+L193</f>
        <v>0</v>
      </c>
      <c r="M187" s="47">
        <f t="shared" ca="1" si="63"/>
        <v>0</v>
      </c>
      <c r="N187" s="47">
        <f t="shared" ca="1" si="63"/>
        <v>0</v>
      </c>
      <c r="O187" s="47">
        <f t="shared" ca="1" si="59"/>
        <v>0</v>
      </c>
      <c r="P187" s="47">
        <f t="shared" ca="1" si="60"/>
        <v>0</v>
      </c>
      <c r="Q187" s="47">
        <f t="shared" ref="Q187:S188" ca="1" si="64">Q190+Q193</f>
        <v>0</v>
      </c>
      <c r="R187" s="47">
        <f t="shared" ca="1" si="64"/>
        <v>0</v>
      </c>
      <c r="S187" s="47">
        <f t="shared" ca="1" si="64"/>
        <v>0</v>
      </c>
      <c r="T187" s="49">
        <f t="shared" ca="1" si="61"/>
        <v>0</v>
      </c>
      <c r="U187" s="49">
        <f t="shared" ca="1" si="62"/>
        <v>0</v>
      </c>
    </row>
    <row r="188" spans="1:21" ht="18.75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ca="1" si="63"/>
        <v>2056000</v>
      </c>
      <c r="M188" s="47">
        <f t="shared" ca="1" si="63"/>
        <v>1910600</v>
      </c>
      <c r="N188" s="47">
        <f t="shared" ca="1" si="63"/>
        <v>1305751.28999999</v>
      </c>
      <c r="O188" s="47">
        <f t="shared" ca="1" si="59"/>
        <v>63.509303988326366</v>
      </c>
      <c r="P188" s="47">
        <f t="shared" ca="1" si="60"/>
        <v>68.342473045116193</v>
      </c>
      <c r="Q188" s="47">
        <f t="shared" ca="1" si="64"/>
        <v>903000</v>
      </c>
      <c r="R188" s="47">
        <f t="shared" ca="1" si="64"/>
        <v>923000</v>
      </c>
      <c r="S188" s="47">
        <f t="shared" ca="1" si="64"/>
        <v>42000</v>
      </c>
      <c r="T188" s="47">
        <f t="shared" ca="1" si="61"/>
        <v>4.6511627906976747</v>
      </c>
      <c r="U188" s="47">
        <f t="shared" ca="1" si="62"/>
        <v>4.5503791982665218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ca="1">L190+L191</f>
        <v>2056000</v>
      </c>
      <c r="M189" s="47">
        <f ca="1">M190+M191</f>
        <v>1910600</v>
      </c>
      <c r="N189" s="47">
        <f ca="1">N190+N191</f>
        <v>1305751.28999999</v>
      </c>
      <c r="O189" s="47">
        <f t="shared" ca="1" si="59"/>
        <v>63.509303988326366</v>
      </c>
      <c r="P189" s="47">
        <f t="shared" ca="1" si="60"/>
        <v>68.342473045116193</v>
      </c>
      <c r="Q189" s="47">
        <f ca="1">Q190+Q191</f>
        <v>903000</v>
      </c>
      <c r="R189" s="47">
        <f ca="1">R190+R191</f>
        <v>923000</v>
      </c>
      <c r="S189" s="47">
        <f ca="1">S190+S191</f>
        <v>42000</v>
      </c>
      <c r="T189" s="47">
        <f t="shared" ca="1" si="61"/>
        <v>4.6511627906976747</v>
      </c>
      <c r="U189" s="47">
        <f t="shared" ca="1" si="62"/>
        <v>4.5503791982665218</v>
      </c>
    </row>
    <row r="190" spans="1:21" ht="18.75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59"/>
        <v>0</v>
      </c>
      <c r="P190" s="47">
        <f t="shared" ca="1" si="60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61"/>
        <v>0</v>
      </c>
      <c r="U190" s="49">
        <f t="shared" ca="1" si="62"/>
        <v>0</v>
      </c>
    </row>
    <row r="191" spans="1:21" ht="18.75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2056000)</f>
        <v>2056000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1910600)</f>
        <v>1910600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1305751.28999999)</f>
        <v>1305751.28999999</v>
      </c>
      <c r="O191" s="47">
        <f t="shared" ca="1" si="59"/>
        <v>63.509303988326366</v>
      </c>
      <c r="P191" s="47">
        <f t="shared" ca="1" si="60"/>
        <v>68.342473045116193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923000)</f>
        <v>923000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42000)</f>
        <v>42000</v>
      </c>
      <c r="T191" s="47">
        <f t="shared" ca="1" si="61"/>
        <v>4.6511627906976747</v>
      </c>
      <c r="U191" s="47">
        <f t="shared" ca="1" si="62"/>
        <v>4.5503791982665218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t="shared" ca="1" si="61"/>
        <v>0</v>
      </c>
      <c r="U192" s="47">
        <f t="shared" ca="1" si="62"/>
        <v>0</v>
      </c>
    </row>
    <row r="193" spans="1:21" ht="18.75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59"/>
        <v>0</v>
      </c>
      <c r="P193" s="47">
        <f t="shared" ca="1" si="60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61"/>
        <v>0</v>
      </c>
      <c r="U193" s="49">
        <f t="shared" ca="1" si="62"/>
        <v>0</v>
      </c>
    </row>
    <row r="194" spans="1:21" ht="18.75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59"/>
        <v>0</v>
      </c>
      <c r="P194" s="47">
        <f t="shared" ca="1" si="60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61"/>
        <v>0</v>
      </c>
      <c r="U194" s="47">
        <f t="shared" ca="1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56</v>
      </c>
      <c r="J195" s="228">
        <f ca="1">J198</f>
        <v>26</v>
      </c>
      <c r="K195" s="229">
        <f ca="1">IF(I195&gt;0,J195*100/I195,0)</f>
        <v>46.428571428571431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12380)</f>
        <v>12380</v>
      </c>
      <c r="O196" s="132">
        <f ca="1">IF(L196&gt;0,N196*100/L196,0)</f>
        <v>14.738095238095237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26)</f>
        <v>26</v>
      </c>
      <c r="K198" s="47">
        <f ca="1">IF(I198&gt;0,J198*100/I198,0)</f>
        <v>46.428571428571431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788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788)</f>
        <v>788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ca="1">I209</f>
        <v>30</v>
      </c>
      <c r="J202" s="235">
        <f ca="1">J209</f>
        <v>2</v>
      </c>
      <c r="K202" s="236">
        <f ca="1">IF(I202&gt;0,J202*100/I202,0)</f>
        <v>6.666666666666667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ca="1">L204+L205+L206+L207</f>
        <v>136000</v>
      </c>
      <c r="M203" s="132">
        <f ca="1">M204+M205+M206+M207</f>
        <v>0</v>
      </c>
      <c r="N203" s="132">
        <f ca="1">N204+N205+N206+N207</f>
        <v>6000</v>
      </c>
      <c r="O203" s="132">
        <f ca="1">IF(L203&gt;0,N203*100/L203,0)</f>
        <v>4.4117647058823533</v>
      </c>
      <c r="P203" s="46"/>
      <c r="Q203" s="132">
        <f ca="1">Q204+Q205+Q206+Q207</f>
        <v>406000</v>
      </c>
      <c r="R203" s="132">
        <f ca="1">R204+R205+R206+R207</f>
        <v>0</v>
      </c>
      <c r="S203" s="132">
        <f ca="1">S204+S205+S206+S207</f>
        <v>14000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22000)</f>
        <v>22000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2000)</f>
        <v>2000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0)</f>
        <v>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14000)</f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106000)</f>
        <v>106000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4000)</f>
        <v>4000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2)</f>
        <v>2</v>
      </c>
      <c r="K209" s="239">
        <f ca="1">IF(I209&gt;0,J209*100/I209,0)</f>
        <v>6.666666666666667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1)</f>
        <v>1</v>
      </c>
      <c r="K211" s="153">
        <f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0)</f>
        <v>0</v>
      </c>
      <c r="K212" s="153">
        <f>IF(I212&gt;0,J212*100/I212,0)</f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ca="1">I220</f>
        <v>10</v>
      </c>
      <c r="J213" s="235">
        <f ca="1">J220</f>
        <v>0</v>
      </c>
      <c r="K213" s="236">
        <f ca="1">IF(I213&gt;0,J213*100/I213,0)</f>
        <v>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ca="1">L215+L216+L217</f>
        <v>30000</v>
      </c>
      <c r="M214" s="132">
        <f ca="1">M215+M216+M217</f>
        <v>0</v>
      </c>
      <c r="N214" s="132">
        <f ca="1">N215+N216+N217</f>
        <v>0</v>
      </c>
      <c r="O214" s="132">
        <f ca="1">IF(L214&gt;0,N214*100/L214,0)</f>
        <v>0</v>
      </c>
      <c r="P214" s="46"/>
      <c r="Q214" s="132">
        <f ca="1">Q215+Q216+Q217</f>
        <v>497000</v>
      </c>
      <c r="R214" s="132">
        <f ca="1">R215+R216+R217</f>
        <v>0</v>
      </c>
      <c r="S214" s="132">
        <f ca="1">S215+S216+S217</f>
        <v>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5000)</f>
        <v>5000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25000)</f>
        <v>25000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0)</f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ca="1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0" s="240">
        <f ca="1">IF(I220&gt;0,J220*100/I220,0)</f>
        <v>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ca="1">I229</f>
        <v>239000</v>
      </c>
      <c r="J221" s="235">
        <f ca="1">J229</f>
        <v>0</v>
      </c>
      <c r="K221" s="236">
        <f ca="1">IF(I221&gt;0,J221*100/I221,0)</f>
        <v>0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ca="1">L223+L224+L225</f>
        <v>66500</v>
      </c>
      <c r="M222" s="132">
        <f ca="1">M223+M224+M225</f>
        <v>0</v>
      </c>
      <c r="N222" s="132">
        <f ca="1">N223+N224+N225</f>
        <v>0</v>
      </c>
      <c r="O222" s="132">
        <f ca="1">IF(L222&gt;0,N222*100/L222,0)</f>
        <v>0</v>
      </c>
      <c r="P222" s="46"/>
      <c r="Q222" s="132">
        <f ca="1">Q223+Q224+Q225</f>
        <v>0</v>
      </c>
      <c r="R222" s="132">
        <f ca="1">R223+R224+R225</f>
        <v>0</v>
      </c>
      <c r="S222" s="132">
        <f ca="1">S223+S224+S225</f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0)</f>
        <v>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0)</f>
        <v>0</v>
      </c>
      <c r="K228" s="239">
        <f ca="1">IF(I228&gt;0,J228*100/I228,0)</f>
        <v>0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0)</f>
        <v>0</v>
      </c>
      <c r="K229" s="239">
        <f ca="1">IF(I229&gt;0,J229*100/I229,0)</f>
        <v>0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ca="1">IF(I230&gt;0,J230*100/I230,0)</f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>I242+I253</f>
        <v>0</v>
      </c>
      <c r="J231" s="228">
        <f>J242+J253</f>
        <v>0</v>
      </c>
      <c r="K231" s="229">
        <f>IF(I231&gt;0,J231*100/I231,0)</f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ca="1">L233+L234+L235+L236</f>
        <v>209600</v>
      </c>
      <c r="M232" s="132">
        <f ca="1">M233+M234+M235+M236</f>
        <v>0</v>
      </c>
      <c r="N232" s="132">
        <f ca="1">N233+N234+N235+N236</f>
        <v>107999.34</v>
      </c>
      <c r="O232" s="132">
        <f ca="1">IF(L232&gt;0,N232*100/L232,0)</f>
        <v>51.526402671755726</v>
      </c>
      <c r="P232" s="46"/>
      <c r="Q232" s="132">
        <f ca="1">Q233+Q234+Q235+Q236</f>
        <v>0</v>
      </c>
      <c r="R232" s="132">
        <f ca="1">R233+R234+R235+R236</f>
        <v>0</v>
      </c>
      <c r="S232" s="132">
        <f ca="1">S233+S234+S235+S236</f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15000)</f>
        <v>15000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4700)</f>
        <v>4700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91000)</f>
        <v>91000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64133.34)</f>
        <v>64133.34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45600)</f>
        <v>45600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58000)</f>
        <v>58000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0)</f>
        <v>0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40)</f>
        <v>40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107.5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0)</f>
        <v>0</v>
      </c>
      <c r="K240" s="47">
        <f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0)</f>
        <v>0</v>
      </c>
      <c r="K241" s="47">
        <f>IF(I241&gt;0,J241*100/I241,0)</f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86)</f>
        <v>86</v>
      </c>
      <c r="K265" s="215">
        <f ca="1">IF(I265&gt;0,J265*100/I265,0)</f>
        <v>28.104575163398692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ca="1">L267+L268</f>
        <v>0</v>
      </c>
      <c r="M266" s="132">
        <f ca="1">M267+M268</f>
        <v>102190</v>
      </c>
      <c r="N266" s="132">
        <f ca="1">N267+N268</f>
        <v>37310</v>
      </c>
      <c r="O266" s="132">
        <f t="shared" ref="O266:O274" ca="1" si="65">IF(L266&gt;0,N266*100/L266,0)</f>
        <v>0</v>
      </c>
      <c r="P266" s="132">
        <f t="shared" ref="P266:P274" ca="1" si="66">IF(M266&gt;0,N266*100/M266,0)</f>
        <v>36.510421763381935</v>
      </c>
      <c r="Q266" s="132">
        <f ca="1">Q267+Q268</f>
        <v>706460</v>
      </c>
      <c r="R266" s="132">
        <f ca="1">R267+R268</f>
        <v>706460</v>
      </c>
      <c r="S266" s="132">
        <f ca="1">S267+S268</f>
        <v>195408</v>
      </c>
      <c r="T266" s="132">
        <f t="shared" ref="T266:T274" ca="1" si="67">IF(Q266&gt;0,S266*100/Q266,0)</f>
        <v>27.66016476516717</v>
      </c>
      <c r="U266" s="132">
        <f t="shared" ref="U266:U274" ca="1" si="68">IF(R266&gt;0,S266*100/R266,0)</f>
        <v>27.66016476516717</v>
      </c>
    </row>
    <row r="267" spans="1:21" ht="18.75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8" ca="1" si="69">L270+L273</f>
        <v>0</v>
      </c>
      <c r="M267" s="47">
        <f t="shared" ca="1" si="69"/>
        <v>0</v>
      </c>
      <c r="N267" s="47">
        <f t="shared" ca="1" si="69"/>
        <v>0</v>
      </c>
      <c r="O267" s="47">
        <f t="shared" ca="1" si="65"/>
        <v>0</v>
      </c>
      <c r="P267" s="47">
        <f t="shared" ca="1" si="66"/>
        <v>0</v>
      </c>
      <c r="Q267" s="47">
        <f t="shared" ref="Q267:S268" ca="1" si="70">Q270+Q273</f>
        <v>0</v>
      </c>
      <c r="R267" s="47">
        <f t="shared" ca="1" si="70"/>
        <v>0</v>
      </c>
      <c r="S267" s="47">
        <f t="shared" ca="1" si="70"/>
        <v>0</v>
      </c>
      <c r="T267" s="49">
        <f t="shared" ca="1" si="67"/>
        <v>0</v>
      </c>
      <c r="U267" s="49">
        <f t="shared" ca="1" si="68"/>
        <v>0</v>
      </c>
    </row>
    <row r="268" spans="1:21" ht="18.75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ca="1" si="69"/>
        <v>0</v>
      </c>
      <c r="M268" s="47">
        <f t="shared" ca="1" si="69"/>
        <v>102190</v>
      </c>
      <c r="N268" s="47">
        <f t="shared" ca="1" si="69"/>
        <v>37310</v>
      </c>
      <c r="O268" s="47">
        <f t="shared" ca="1" si="65"/>
        <v>0</v>
      </c>
      <c r="P268" s="47">
        <f t="shared" ca="1" si="66"/>
        <v>36.510421763381935</v>
      </c>
      <c r="Q268" s="47">
        <f t="shared" ca="1" si="70"/>
        <v>706460</v>
      </c>
      <c r="R268" s="47">
        <f t="shared" ca="1" si="70"/>
        <v>706460</v>
      </c>
      <c r="S268" s="47">
        <f t="shared" ca="1" si="70"/>
        <v>195408</v>
      </c>
      <c r="T268" s="47">
        <f t="shared" ca="1" si="67"/>
        <v>27.66016476516717</v>
      </c>
      <c r="U268" s="47">
        <f t="shared" ca="1" si="68"/>
        <v>27.66016476516717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ca="1">L270+L271</f>
        <v>0</v>
      </c>
      <c r="M269" s="47">
        <f ca="1">M270+M271</f>
        <v>102190</v>
      </c>
      <c r="N269" s="47">
        <f ca="1">N270+N271</f>
        <v>37310</v>
      </c>
      <c r="O269" s="47">
        <f t="shared" ca="1" si="65"/>
        <v>0</v>
      </c>
      <c r="P269" s="47">
        <f t="shared" ca="1" si="66"/>
        <v>36.510421763381935</v>
      </c>
      <c r="Q269" s="47">
        <f ca="1">Q270+Q271</f>
        <v>706460</v>
      </c>
      <c r="R269" s="47">
        <f ca="1">R270+R271</f>
        <v>706460</v>
      </c>
      <c r="S269" s="47">
        <f ca="1">S270+S271</f>
        <v>195408</v>
      </c>
      <c r="T269" s="47">
        <f t="shared" ca="1" si="67"/>
        <v>27.66016476516717</v>
      </c>
      <c r="U269" s="47">
        <f t="shared" ca="1" si="68"/>
        <v>27.66016476516717</v>
      </c>
    </row>
    <row r="270" spans="1:21" ht="18.75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65"/>
        <v>0</v>
      </c>
      <c r="P270" s="47">
        <f t="shared" ca="1" si="66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67"/>
        <v>0</v>
      </c>
      <c r="U270" s="49">
        <f t="shared" ca="1" si="68"/>
        <v>0</v>
      </c>
    </row>
    <row r="271" spans="1:21" ht="18.75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0)</f>
        <v>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37310)</f>
        <v>37310</v>
      </c>
      <c r="O271" s="47">
        <f t="shared" ca="1" si="65"/>
        <v>0</v>
      </c>
      <c r="P271" s="47">
        <f t="shared" ca="1" si="66"/>
        <v>36.510421763381935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195408)</f>
        <v>195408</v>
      </c>
      <c r="T271" s="47">
        <f t="shared" ca="1" si="67"/>
        <v>27.66016476516717</v>
      </c>
      <c r="U271" s="47">
        <f t="shared" ca="1" si="68"/>
        <v>27.66016476516717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ca="1">L273+L274</f>
        <v>0</v>
      </c>
      <c r="M272" s="47">
        <f ca="1">M273+M274</f>
        <v>0</v>
      </c>
      <c r="N272" s="47">
        <f ca="1">N273+N274</f>
        <v>0</v>
      </c>
      <c r="O272" s="47">
        <f t="shared" ca="1" si="65"/>
        <v>0</v>
      </c>
      <c r="P272" s="47">
        <f t="shared" ca="1" si="66"/>
        <v>0</v>
      </c>
      <c r="Q272" s="47">
        <f ca="1">Q273+Q274</f>
        <v>0</v>
      </c>
      <c r="R272" s="47">
        <f ca="1">R273+R274</f>
        <v>0</v>
      </c>
      <c r="S272" s="47">
        <f ca="1">S273+S274</f>
        <v>0</v>
      </c>
      <c r="T272" s="47">
        <f t="shared" ca="1" si="67"/>
        <v>0</v>
      </c>
      <c r="U272" s="47">
        <f t="shared" ca="1" si="68"/>
        <v>0</v>
      </c>
    </row>
    <row r="273" spans="1:21" ht="18.75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65"/>
        <v>0</v>
      </c>
      <c r="P273" s="47">
        <f t="shared" ca="1" si="66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67"/>
        <v>0</v>
      </c>
      <c r="U273" s="49">
        <f t="shared" ca="1" si="68"/>
        <v>0</v>
      </c>
    </row>
    <row r="274" spans="1:21" ht="18.75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65"/>
        <v>0</v>
      </c>
      <c r="P274" s="47">
        <f t="shared" ca="1" si="66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67"/>
        <v>0</v>
      </c>
      <c r="U274" s="47">
        <f t="shared" ca="1" si="68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86)</f>
        <v>86</v>
      </c>
      <c r="K276" s="47">
        <f ca="1">IF(I276&gt;0,J276*100/I276,0)</f>
        <v>28.104575163398692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 ca="1">J293</f>
        <v>10</v>
      </c>
      <c r="K280" s="289">
        <f ca="1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 ca="1">J292</f>
        <v>100</v>
      </c>
      <c r="K281" s="289">
        <f ca="1">IF(I281&gt;0,J281*100/I281,0)</f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ca="1">L283+L284</f>
        <v>292520</v>
      </c>
      <c r="M282" s="132">
        <f ca="1">M283+M284</f>
        <v>292520</v>
      </c>
      <c r="N282" s="132">
        <f ca="1">N283+N284</f>
        <v>282187.83</v>
      </c>
      <c r="O282" s="132">
        <f t="shared" ref="O282:O290" ca="1" si="71">IF(L282&gt;0,N282*100/L282,0)</f>
        <v>96.467875700806786</v>
      </c>
      <c r="P282" s="132">
        <f t="shared" ref="P282:P290" ca="1" si="72">IF(M282&gt;0,N282*100/M282,0)</f>
        <v>96.467875700806786</v>
      </c>
      <c r="Q282" s="132">
        <f ca="1">Q283+Q284</f>
        <v>0</v>
      </c>
      <c r="R282" s="132">
        <f ca="1">R283+R284</f>
        <v>0</v>
      </c>
      <c r="S282" s="132">
        <f ca="1">S283+S284</f>
        <v>0</v>
      </c>
      <c r="T282" s="132">
        <f t="shared" ref="T282:T290" ca="1" si="73">IF(Q282&gt;0,S282*100/Q282,0)</f>
        <v>0</v>
      </c>
      <c r="U282" s="132">
        <f t="shared" ref="U282:U290" ca="1" si="74">IF(R282&gt;0,S282*100/R282,0)</f>
        <v>0</v>
      </c>
    </row>
    <row r="283" spans="1:21" ht="18.75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4" ca="1" si="75">L286+L289</f>
        <v>0</v>
      </c>
      <c r="M283" s="47">
        <f t="shared" ca="1" si="75"/>
        <v>0</v>
      </c>
      <c r="N283" s="47">
        <f t="shared" ca="1" si="75"/>
        <v>0</v>
      </c>
      <c r="O283" s="47">
        <f t="shared" ca="1" si="71"/>
        <v>0</v>
      </c>
      <c r="P283" s="47">
        <f t="shared" ca="1" si="72"/>
        <v>0</v>
      </c>
      <c r="Q283" s="47">
        <f t="shared" ref="Q283:S284" ca="1" si="76">Q286+Q289</f>
        <v>0</v>
      </c>
      <c r="R283" s="47">
        <f t="shared" ca="1" si="76"/>
        <v>0</v>
      </c>
      <c r="S283" s="47">
        <f t="shared" ca="1" si="76"/>
        <v>0</v>
      </c>
      <c r="T283" s="49">
        <f t="shared" ca="1" si="73"/>
        <v>0</v>
      </c>
      <c r="U283" s="49">
        <f t="shared" ca="1" si="74"/>
        <v>0</v>
      </c>
    </row>
    <row r="284" spans="1:21" ht="18.75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ca="1" si="75"/>
        <v>292520</v>
      </c>
      <c r="M284" s="47">
        <f t="shared" ca="1" si="75"/>
        <v>292520</v>
      </c>
      <c r="N284" s="47">
        <f t="shared" ca="1" si="75"/>
        <v>282187.83</v>
      </c>
      <c r="O284" s="47">
        <f t="shared" ca="1" si="71"/>
        <v>96.467875700806786</v>
      </c>
      <c r="P284" s="47">
        <f t="shared" ca="1" si="72"/>
        <v>96.467875700806786</v>
      </c>
      <c r="Q284" s="47">
        <f t="shared" ca="1" si="76"/>
        <v>0</v>
      </c>
      <c r="R284" s="47">
        <f t="shared" ca="1" si="76"/>
        <v>0</v>
      </c>
      <c r="S284" s="47">
        <f t="shared" ca="1" si="76"/>
        <v>0</v>
      </c>
      <c r="T284" s="47">
        <f t="shared" ca="1" si="73"/>
        <v>0</v>
      </c>
      <c r="U284" s="47">
        <f t="shared" ca="1" si="74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ca="1">L286+L287</f>
        <v>292520</v>
      </c>
      <c r="M285" s="47">
        <f ca="1">M286+M287</f>
        <v>292520</v>
      </c>
      <c r="N285" s="47">
        <f ca="1">N286+N287</f>
        <v>282187.83</v>
      </c>
      <c r="O285" s="47">
        <f t="shared" ca="1" si="71"/>
        <v>96.467875700806786</v>
      </c>
      <c r="P285" s="47">
        <f t="shared" ca="1" si="72"/>
        <v>96.467875700806786</v>
      </c>
      <c r="Q285" s="47">
        <f ca="1">Q286+Q287</f>
        <v>0</v>
      </c>
      <c r="R285" s="47">
        <f ca="1">R286+R287</f>
        <v>0</v>
      </c>
      <c r="S285" s="47">
        <f ca="1">S286+S287</f>
        <v>0</v>
      </c>
      <c r="T285" s="47">
        <f t="shared" ca="1" si="73"/>
        <v>0</v>
      </c>
      <c r="U285" s="47">
        <f t="shared" ca="1" si="74"/>
        <v>0</v>
      </c>
    </row>
    <row r="286" spans="1:21" ht="18.75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71"/>
        <v>0</v>
      </c>
      <c r="P286" s="47">
        <f t="shared" ca="1" si="72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73"/>
        <v>0</v>
      </c>
      <c r="U286" s="49">
        <f t="shared" ca="1" si="74"/>
        <v>0</v>
      </c>
    </row>
    <row r="287" spans="1:21" ht="18.75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292520)</f>
        <v>292520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292520)</f>
        <v>292520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282187.83)</f>
        <v>282187.83</v>
      </c>
      <c r="O287" s="47">
        <f t="shared" ca="1" si="71"/>
        <v>96.467875700806786</v>
      </c>
      <c r="P287" s="47">
        <f t="shared" ca="1" si="72"/>
        <v>96.467875700806786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73"/>
        <v>0</v>
      </c>
      <c r="U287" s="49">
        <f t="shared" ca="1" si="74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 ca="1">Q289+Q290</f>
        <v>0</v>
      </c>
      <c r="R288" s="47">
        <f ca="1">R289+R290</f>
        <v>0</v>
      </c>
      <c r="S288" s="47">
        <f ca="1">S289+S290</f>
        <v>0</v>
      </c>
      <c r="T288" s="47">
        <f t="shared" ca="1" si="73"/>
        <v>0</v>
      </c>
      <c r="U288" s="47">
        <f t="shared" ca="1" si="74"/>
        <v>0</v>
      </c>
    </row>
    <row r="289" spans="1:21" ht="18.75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71"/>
        <v>0</v>
      </c>
      <c r="P289" s="47">
        <f t="shared" ca="1" si="72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73"/>
        <v>0</v>
      </c>
      <c r="U289" s="49">
        <f t="shared" ca="1" si="74"/>
        <v>0</v>
      </c>
    </row>
    <row r="290" spans="1:21" ht="18.75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71"/>
        <v>0</v>
      </c>
      <c r="P290" s="47">
        <f t="shared" ca="1" si="72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73"/>
        <v>0</v>
      </c>
      <c r="U290" s="47">
        <f t="shared" ca="1" si="74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ca="1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ca="1">IF(I293&gt;0,J293*100/I293,0)</f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ca="1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ca="1">IF(I296&gt;0,J296*100/I296,0)</f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235</v>
      </c>
      <c r="J302" s="310">
        <f ca="1">J314</f>
        <v>30</v>
      </c>
      <c r="K302" s="311">
        <f ca="1">IF(I302&gt;0,J302*100/I302,0)</f>
        <v>12.76595744680851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ca="1">L304+L305</f>
        <v>299500</v>
      </c>
      <c r="M303" s="132">
        <f ca="1">M304+M305</f>
        <v>299500</v>
      </c>
      <c r="N303" s="132">
        <f ca="1">N304+N305</f>
        <v>223559.98</v>
      </c>
      <c r="O303" s="132">
        <f t="shared" ref="O303:O311" ca="1" si="77">IF(L303&gt;0,N303*100/L303,0)</f>
        <v>74.644400667779635</v>
      </c>
      <c r="P303" s="132">
        <f t="shared" ref="P303:P311" ca="1" si="78">IF(M303&gt;0,N303*100/M303,0)</f>
        <v>74.644400667779635</v>
      </c>
      <c r="Q303" s="132">
        <f ca="1">Q304+Q305</f>
        <v>2086950.07</v>
      </c>
      <c r="R303" s="132">
        <f ca="1">R304+R305</f>
        <v>2086948</v>
      </c>
      <c r="S303" s="132">
        <f ca="1">S304+S305</f>
        <v>33730</v>
      </c>
      <c r="T303" s="132">
        <f t="shared" ref="T303:T311" ca="1" si="79">IF(Q303&gt;0,S303*100/Q303,0)</f>
        <v>1.616234163187239</v>
      </c>
      <c r="U303" s="132">
        <f t="shared" ref="U303:U311" ca="1" si="80">IF(R303&gt;0,S303*100/R303,0)</f>
        <v>1.6162357662960458</v>
      </c>
    </row>
    <row r="304" spans="1:21" ht="18.75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5" ca="1" si="81">L307+L310</f>
        <v>0</v>
      </c>
      <c r="M304" s="47">
        <f t="shared" ca="1" si="81"/>
        <v>0</v>
      </c>
      <c r="N304" s="47">
        <f t="shared" ca="1" si="81"/>
        <v>0</v>
      </c>
      <c r="O304" s="47">
        <f t="shared" ca="1" si="77"/>
        <v>0</v>
      </c>
      <c r="P304" s="47">
        <f t="shared" ca="1" si="78"/>
        <v>0</v>
      </c>
      <c r="Q304" s="47">
        <f t="shared" ref="Q304:S305" ca="1" si="82">Q307+Q310</f>
        <v>0</v>
      </c>
      <c r="R304" s="47">
        <f t="shared" ca="1" si="82"/>
        <v>0</v>
      </c>
      <c r="S304" s="47">
        <f t="shared" ca="1" si="82"/>
        <v>0</v>
      </c>
      <c r="T304" s="49">
        <f t="shared" ca="1" si="79"/>
        <v>0</v>
      </c>
      <c r="U304" s="49">
        <f t="shared" ca="1" si="80"/>
        <v>0</v>
      </c>
    </row>
    <row r="305" spans="1:21" ht="18.75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ca="1" si="81"/>
        <v>299500</v>
      </c>
      <c r="M305" s="47">
        <f t="shared" ca="1" si="81"/>
        <v>299500</v>
      </c>
      <c r="N305" s="47">
        <f t="shared" ca="1" si="81"/>
        <v>223559.98</v>
      </c>
      <c r="O305" s="47">
        <f t="shared" ca="1" si="77"/>
        <v>74.644400667779635</v>
      </c>
      <c r="P305" s="47">
        <f t="shared" ca="1" si="78"/>
        <v>74.644400667779635</v>
      </c>
      <c r="Q305" s="47">
        <f t="shared" ca="1" si="82"/>
        <v>2086950.07</v>
      </c>
      <c r="R305" s="47">
        <f t="shared" ca="1" si="82"/>
        <v>2086948</v>
      </c>
      <c r="S305" s="47">
        <f t="shared" ca="1" si="82"/>
        <v>33730</v>
      </c>
      <c r="T305" s="47">
        <f t="shared" ca="1" si="79"/>
        <v>1.616234163187239</v>
      </c>
      <c r="U305" s="47">
        <f t="shared" ca="1" si="80"/>
        <v>1.6162357662960458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ca="1">L307+L308</f>
        <v>299500</v>
      </c>
      <c r="M306" s="47">
        <f ca="1">M307+M308</f>
        <v>299500</v>
      </c>
      <c r="N306" s="47">
        <f ca="1">N307+N308</f>
        <v>223559.98</v>
      </c>
      <c r="O306" s="47">
        <f t="shared" ca="1" si="77"/>
        <v>74.644400667779635</v>
      </c>
      <c r="P306" s="47">
        <f t="shared" ca="1" si="78"/>
        <v>74.644400667779635</v>
      </c>
      <c r="Q306" s="47">
        <f ca="1">Q307+Q308</f>
        <v>2086950.07</v>
      </c>
      <c r="R306" s="47">
        <f ca="1">R307+R308</f>
        <v>2086948</v>
      </c>
      <c r="S306" s="47">
        <f ca="1">S307+S308</f>
        <v>33730</v>
      </c>
      <c r="T306" s="47">
        <f t="shared" ca="1" si="79"/>
        <v>1.616234163187239</v>
      </c>
      <c r="U306" s="47">
        <f t="shared" ca="1" si="80"/>
        <v>1.6162357662960458</v>
      </c>
    </row>
    <row r="307" spans="1:21" ht="18.75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77"/>
        <v>0</v>
      </c>
      <c r="P307" s="47">
        <f t="shared" ca="1" si="78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79"/>
        <v>0</v>
      </c>
      <c r="U307" s="49">
        <f t="shared" ca="1" si="80"/>
        <v>0</v>
      </c>
    </row>
    <row r="308" spans="1:21" ht="18.75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299500)</f>
        <v>299500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299500)</f>
        <v>299500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223559.98)</f>
        <v>223559.98</v>
      </c>
      <c r="O308" s="47">
        <f t="shared" ca="1" si="77"/>
        <v>74.644400667779635</v>
      </c>
      <c r="P308" s="47">
        <f t="shared" ca="1" si="78"/>
        <v>74.644400667779635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33730)</f>
        <v>33730</v>
      </c>
      <c r="T308" s="47">
        <f t="shared" ca="1" si="79"/>
        <v>1.616234163187239</v>
      </c>
      <c r="U308" s="47">
        <f t="shared" ca="1" si="80"/>
        <v>1.6162357662960458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 ca="1">Q310+Q311</f>
        <v>0</v>
      </c>
      <c r="R309" s="47">
        <f ca="1">R310+R311</f>
        <v>0</v>
      </c>
      <c r="S309" s="47">
        <f ca="1">S310+S311</f>
        <v>0</v>
      </c>
      <c r="T309" s="47">
        <f t="shared" ca="1" si="79"/>
        <v>0</v>
      </c>
      <c r="U309" s="47">
        <f t="shared" ca="1" si="80"/>
        <v>0</v>
      </c>
    </row>
    <row r="310" spans="1:21" ht="18.75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77"/>
        <v>0</v>
      </c>
      <c r="P310" s="47">
        <f t="shared" ca="1" si="78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79"/>
        <v>0</v>
      </c>
      <c r="U310" s="49">
        <f t="shared" ca="1" si="80"/>
        <v>0</v>
      </c>
    </row>
    <row r="311" spans="1:21" ht="18.75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77"/>
        <v>0</v>
      </c>
      <c r="P311" s="47">
        <f t="shared" ca="1" si="78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79"/>
        <v>0</v>
      </c>
      <c r="U311" s="47">
        <f t="shared" ca="1" si="80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30)</f>
        <v>30</v>
      </c>
      <c r="K314" s="47">
        <f ca="1">IF(I314&gt;0,J314*100/I314,0)</f>
        <v>12.76595744680851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ca="1">IF(I315&gt;0,J315*100/I315,0)</f>
        <v>0</v>
      </c>
      <c r="L315" s="46"/>
      <c r="M315" s="46"/>
      <c r="N315" s="46"/>
      <c r="O315" s="46"/>
      <c r="P315" s="46"/>
      <c r="Q315" s="46"/>
      <c r="R315" s="46"/>
      <c r="S315" s="46"/>
      <c r="T315" s="22"/>
      <c r="U315" s="22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ca="1">IF(I316&gt;0,J316*100/I316,0)</f>
        <v>0</v>
      </c>
      <c r="L316" s="46"/>
      <c r="M316" s="46"/>
      <c r="N316" s="46"/>
      <c r="O316" s="46"/>
      <c r="P316" s="46"/>
      <c r="Q316" s="46"/>
      <c r="R316" s="46"/>
      <c r="S316" s="46"/>
      <c r="T316" s="22"/>
      <c r="U316" s="22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ca="1">IF(I317&gt;0,J317*100/I317,0)</f>
        <v>0</v>
      </c>
      <c r="L317" s="46"/>
      <c r="M317" s="46"/>
      <c r="N317" s="46"/>
      <c r="O317" s="46"/>
      <c r="P317" s="46"/>
      <c r="Q317" s="46"/>
      <c r="R317" s="46"/>
      <c r="S317" s="46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4</v>
      </c>
      <c r="J319" s="310">
        <f ca="1">J330</f>
        <v>2</v>
      </c>
      <c r="K319" s="311">
        <f ca="1">IF(I319&gt;0,J319*100/I319,0)</f>
        <v>50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ca="1">L321+L322</f>
        <v>90000</v>
      </c>
      <c r="M320" s="132">
        <f ca="1">M321+M322</f>
        <v>150000</v>
      </c>
      <c r="N320" s="132">
        <f ca="1">N321+N322</f>
        <v>129382.1</v>
      </c>
      <c r="O320" s="132">
        <f t="shared" ref="O320:O328" ca="1" si="83">IF(L320&gt;0,N320*100/L320,0)</f>
        <v>143.75788888888889</v>
      </c>
      <c r="P320" s="132">
        <f t="shared" ref="P320:P328" ca="1" si="84">IF(M320&gt;0,N320*100/M320,0)</f>
        <v>86.254733333333334</v>
      </c>
      <c r="Q320" s="132">
        <f ca="1">Q321+Q322</f>
        <v>0</v>
      </c>
      <c r="R320" s="132">
        <f ca="1">R321+R322</f>
        <v>0</v>
      </c>
      <c r="S320" s="132">
        <f ca="1">S321+S322</f>
        <v>0</v>
      </c>
      <c r="T320" s="132">
        <f t="shared" ref="T320:T328" ca="1" si="85">IF(Q320&gt;0,S320*100/Q320,0)</f>
        <v>0</v>
      </c>
      <c r="U320" s="132">
        <f t="shared" ref="U320:U328" ca="1" si="86">IF(R320&gt;0,S320*100/R320,0)</f>
        <v>0</v>
      </c>
    </row>
    <row r="321" spans="1:21" ht="18.75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2" ca="1" si="87">L324+L327</f>
        <v>0</v>
      </c>
      <c r="M321" s="47">
        <f t="shared" ca="1" si="87"/>
        <v>0</v>
      </c>
      <c r="N321" s="47">
        <f t="shared" ca="1" si="87"/>
        <v>0</v>
      </c>
      <c r="O321" s="47">
        <f t="shared" ca="1" si="83"/>
        <v>0</v>
      </c>
      <c r="P321" s="47">
        <f t="shared" ca="1" si="84"/>
        <v>0</v>
      </c>
      <c r="Q321" s="47">
        <f t="shared" ref="Q321:S322" ca="1" si="88">Q324+Q327</f>
        <v>0</v>
      </c>
      <c r="R321" s="47">
        <f t="shared" ca="1" si="88"/>
        <v>0</v>
      </c>
      <c r="S321" s="47">
        <f t="shared" ca="1" si="88"/>
        <v>0</v>
      </c>
      <c r="T321" s="49">
        <f t="shared" ca="1" si="85"/>
        <v>0</v>
      </c>
      <c r="U321" s="49">
        <f t="shared" ca="1" si="86"/>
        <v>0</v>
      </c>
    </row>
    <row r="322" spans="1:21" ht="18.75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ca="1" si="87"/>
        <v>90000</v>
      </c>
      <c r="M322" s="47">
        <f t="shared" ca="1" si="87"/>
        <v>150000</v>
      </c>
      <c r="N322" s="47">
        <f t="shared" ca="1" si="87"/>
        <v>129382.1</v>
      </c>
      <c r="O322" s="47">
        <f t="shared" ca="1" si="83"/>
        <v>143.75788888888889</v>
      </c>
      <c r="P322" s="47">
        <f t="shared" ca="1" si="84"/>
        <v>86.254733333333334</v>
      </c>
      <c r="Q322" s="47">
        <f t="shared" ca="1" si="88"/>
        <v>0</v>
      </c>
      <c r="R322" s="47">
        <f t="shared" ca="1" si="88"/>
        <v>0</v>
      </c>
      <c r="S322" s="47">
        <f t="shared" ca="1" si="88"/>
        <v>0</v>
      </c>
      <c r="T322" s="47">
        <f t="shared" ca="1" si="85"/>
        <v>0</v>
      </c>
      <c r="U322" s="47">
        <f t="shared" ca="1" si="86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ca="1">L324+L325</f>
        <v>90000</v>
      </c>
      <c r="M323" s="47">
        <f ca="1">M324+M325</f>
        <v>150000</v>
      </c>
      <c r="N323" s="47">
        <f ca="1">N324+N325</f>
        <v>129382.1</v>
      </c>
      <c r="O323" s="47">
        <f t="shared" ca="1" si="83"/>
        <v>143.75788888888889</v>
      </c>
      <c r="P323" s="47">
        <f t="shared" ca="1" si="84"/>
        <v>86.254733333333334</v>
      </c>
      <c r="Q323" s="47">
        <f ca="1">Q324+Q325</f>
        <v>0</v>
      </c>
      <c r="R323" s="47">
        <f ca="1">R324+R325</f>
        <v>0</v>
      </c>
      <c r="S323" s="47">
        <f ca="1">S324+S325</f>
        <v>0</v>
      </c>
      <c r="T323" s="47">
        <f t="shared" ca="1" si="85"/>
        <v>0</v>
      </c>
      <c r="U323" s="47">
        <f t="shared" ca="1" si="86"/>
        <v>0</v>
      </c>
    </row>
    <row r="324" spans="1:21" ht="18.75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83"/>
        <v>0</v>
      </c>
      <c r="P324" s="47">
        <f t="shared" ca="1" si="84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85"/>
        <v>0</v>
      </c>
      <c r="U324" s="49">
        <f t="shared" ca="1" si="86"/>
        <v>0</v>
      </c>
    </row>
    <row r="325" spans="1:21" ht="18.75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90000)</f>
        <v>90000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150000)</f>
        <v>150000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129382.1)</f>
        <v>129382.1</v>
      </c>
      <c r="O325" s="47">
        <f t="shared" ca="1" si="83"/>
        <v>143.75788888888889</v>
      </c>
      <c r="P325" s="47">
        <f t="shared" ca="1" si="84"/>
        <v>86.254733333333334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85"/>
        <v>0</v>
      </c>
      <c r="U325" s="47">
        <f t="shared" ca="1" si="86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 ca="1">Q327+Q328</f>
        <v>0</v>
      </c>
      <c r="R326" s="47">
        <f ca="1">R327+R328</f>
        <v>0</v>
      </c>
      <c r="S326" s="47">
        <f ca="1">S327+S328</f>
        <v>0</v>
      </c>
      <c r="T326" s="47">
        <f t="shared" ca="1" si="85"/>
        <v>0</v>
      </c>
      <c r="U326" s="47">
        <f t="shared" ca="1" si="86"/>
        <v>0</v>
      </c>
    </row>
    <row r="327" spans="1:21" ht="18.75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83"/>
        <v>0</v>
      </c>
      <c r="P327" s="47">
        <f t="shared" ca="1" si="84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85"/>
        <v>0</v>
      </c>
      <c r="U327" s="49">
        <f t="shared" ca="1" si="86"/>
        <v>0</v>
      </c>
    </row>
    <row r="328" spans="1:21" ht="18.75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0)</f>
        <v>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0)</f>
        <v>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0)</f>
        <v>0</v>
      </c>
      <c r="O328" s="47">
        <f t="shared" ca="1" si="83"/>
        <v>0</v>
      </c>
      <c r="P328" s="47">
        <f t="shared" ca="1" si="84"/>
        <v>0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85"/>
        <v>0</v>
      </c>
      <c r="U328" s="47">
        <f t="shared" ca="1" si="86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2)</f>
        <v>2</v>
      </c>
      <c r="K330" s="47">
        <f ca="1">IF(I330&gt;0,J330*100/I330,0)</f>
        <v>50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50480</v>
      </c>
      <c r="K332" s="311">
        <f ca="1">IF(I332&gt;0,J332*100/I332,0)</f>
        <v>415.81548599670509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ca="1">L334+L335</f>
        <v>1752700</v>
      </c>
      <c r="M333" s="132">
        <f ca="1">M334+M335</f>
        <v>1873875</v>
      </c>
      <c r="N333" s="132">
        <f ca="1">N334+N335</f>
        <v>1400311.96</v>
      </c>
      <c r="O333" s="132">
        <f t="shared" ref="O333:O341" ca="1" si="89">IF(L333&gt;0,N333*100/L333,0)</f>
        <v>79.89456039253723</v>
      </c>
      <c r="P333" s="132">
        <f t="shared" ref="P333:P341" ca="1" si="90">IF(M333&gt;0,N333*100/M333,0)</f>
        <v>74.728141418184251</v>
      </c>
      <c r="Q333" s="132">
        <f ca="1">Q334+Q335</f>
        <v>0</v>
      </c>
      <c r="R333" s="132">
        <f ca="1">R334+R335</f>
        <v>0</v>
      </c>
      <c r="S333" s="132">
        <f ca="1">S334+S335</f>
        <v>0</v>
      </c>
      <c r="T333" s="132">
        <f t="shared" ref="T333:T341" ca="1" si="91">IF(Q333&gt;0,S333*100/Q333,0)</f>
        <v>0</v>
      </c>
      <c r="U333" s="132">
        <f t="shared" ref="U333:U341" ca="1" si="92">IF(R333&gt;0,S333*100/R333,0)</f>
        <v>0</v>
      </c>
    </row>
    <row r="334" spans="1:21" ht="18.75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5" ca="1" si="93">L337+L340</f>
        <v>0</v>
      </c>
      <c r="M334" s="47">
        <f t="shared" ca="1" si="93"/>
        <v>0</v>
      </c>
      <c r="N334" s="47">
        <f t="shared" ca="1" si="93"/>
        <v>0</v>
      </c>
      <c r="O334" s="47">
        <f t="shared" ca="1" si="89"/>
        <v>0</v>
      </c>
      <c r="P334" s="47">
        <f t="shared" ca="1" si="90"/>
        <v>0</v>
      </c>
      <c r="Q334" s="47">
        <f t="shared" ref="Q334:S335" ca="1" si="94">Q337+Q340</f>
        <v>0</v>
      </c>
      <c r="R334" s="47">
        <f t="shared" ca="1" si="94"/>
        <v>0</v>
      </c>
      <c r="S334" s="47">
        <f t="shared" ca="1" si="94"/>
        <v>0</v>
      </c>
      <c r="T334" s="49">
        <f t="shared" ca="1" si="91"/>
        <v>0</v>
      </c>
      <c r="U334" s="49">
        <f t="shared" ca="1" si="92"/>
        <v>0</v>
      </c>
    </row>
    <row r="335" spans="1:21" ht="18.75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ca="1" si="93"/>
        <v>1752700</v>
      </c>
      <c r="M335" s="47">
        <f t="shared" ca="1" si="93"/>
        <v>1873875</v>
      </c>
      <c r="N335" s="47">
        <f t="shared" ca="1" si="93"/>
        <v>1400311.96</v>
      </c>
      <c r="O335" s="47">
        <f t="shared" ca="1" si="89"/>
        <v>79.89456039253723</v>
      </c>
      <c r="P335" s="47">
        <f t="shared" ca="1" si="90"/>
        <v>74.728141418184251</v>
      </c>
      <c r="Q335" s="47">
        <f t="shared" ca="1" si="94"/>
        <v>0</v>
      </c>
      <c r="R335" s="47">
        <f t="shared" ca="1" si="94"/>
        <v>0</v>
      </c>
      <c r="S335" s="47">
        <f t="shared" ca="1" si="94"/>
        <v>0</v>
      </c>
      <c r="T335" s="47">
        <f t="shared" ca="1" si="91"/>
        <v>0</v>
      </c>
      <c r="U335" s="47">
        <f t="shared" ca="1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ca="1">L337+L338</f>
        <v>1752700</v>
      </c>
      <c r="M336" s="47">
        <f ca="1">M337+M338</f>
        <v>1873875</v>
      </c>
      <c r="N336" s="47">
        <f ca="1">N337+N338</f>
        <v>1400311.96</v>
      </c>
      <c r="O336" s="47">
        <f t="shared" ca="1" si="89"/>
        <v>79.89456039253723</v>
      </c>
      <c r="P336" s="47">
        <f t="shared" ca="1" si="90"/>
        <v>74.728141418184251</v>
      </c>
      <c r="Q336" s="47">
        <f ca="1">Q337+Q338</f>
        <v>0</v>
      </c>
      <c r="R336" s="47">
        <f ca="1">R337+R338</f>
        <v>0</v>
      </c>
      <c r="S336" s="47">
        <f ca="1">S337+S338</f>
        <v>0</v>
      </c>
      <c r="T336" s="47">
        <f t="shared" ca="1" si="91"/>
        <v>0</v>
      </c>
      <c r="U336" s="47">
        <f t="shared" ca="1" si="92"/>
        <v>0</v>
      </c>
    </row>
    <row r="337" spans="1:21" ht="18.75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89"/>
        <v>0</v>
      </c>
      <c r="P337" s="47">
        <f t="shared" ca="1" si="90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91"/>
        <v>0</v>
      </c>
      <c r="U337" s="49">
        <f t="shared" ca="1" si="92"/>
        <v>0</v>
      </c>
    </row>
    <row r="338" spans="1:21" ht="18.75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1752700)</f>
        <v>1752700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1873875)</f>
        <v>1873875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1400311.96)</f>
        <v>1400311.96</v>
      </c>
      <c r="O338" s="47">
        <f t="shared" ca="1" si="89"/>
        <v>79.89456039253723</v>
      </c>
      <c r="P338" s="47">
        <f t="shared" ca="1" si="90"/>
        <v>74.728141418184251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91"/>
        <v>0</v>
      </c>
      <c r="U338" s="47">
        <f t="shared" ca="1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 ca="1">Q340+Q341</f>
        <v>0</v>
      </c>
      <c r="R339" s="47">
        <f ca="1">R340+R341</f>
        <v>0</v>
      </c>
      <c r="S339" s="47">
        <f ca="1">S340+S341</f>
        <v>0</v>
      </c>
      <c r="T339" s="47">
        <f t="shared" ca="1" si="91"/>
        <v>0</v>
      </c>
      <c r="U339" s="47">
        <f t="shared" ca="1" si="92"/>
        <v>0</v>
      </c>
    </row>
    <row r="340" spans="1:21" ht="18.75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89"/>
        <v>0</v>
      </c>
      <c r="P340" s="47">
        <f t="shared" ca="1" si="90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91"/>
        <v>0</v>
      </c>
      <c r="U340" s="49">
        <f t="shared" ca="1" si="92"/>
        <v>0</v>
      </c>
    </row>
    <row r="341" spans="1:21" ht="18.75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0)</f>
        <v>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0)</f>
        <v>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89"/>
        <v>0</v>
      </c>
      <c r="P341" s="47">
        <f t="shared" ca="1" si="90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91"/>
        <v>0</v>
      </c>
      <c r="U341" s="47">
        <f t="shared" ca="1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20548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19987)</f>
        <v>19987</v>
      </c>
      <c r="K344" s="47">
        <f ca="1">IF(I344&gt;0,J344*100/I344,0)</f>
        <v>164.63756177924216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37)</f>
        <v>37</v>
      </c>
      <c r="K346" s="47">
        <f ca="1">IF(I346&gt;0,J346*100/I346,0)</f>
        <v>112.12121212121212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375)</f>
        <v>375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54)</f>
        <v>54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42888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12956)</f>
        <v>12956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29932)</f>
        <v>29932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ca="1">L357+L358</f>
        <v>6318015</v>
      </c>
      <c r="M356" s="132">
        <f ca="1">M357+M358</f>
        <v>6403615</v>
      </c>
      <c r="N356" s="132">
        <f ca="1">N357+N358</f>
        <v>4677114.59</v>
      </c>
      <c r="O356" s="132">
        <f t="shared" ref="O356:O364" ca="1" si="95">IF(L356&gt;0,N356*100/L356,0)</f>
        <v>74.02822864459803</v>
      </c>
      <c r="P356" s="132">
        <f t="shared" ref="P356:P364" ca="1" si="96">IF(M356&gt;0,N356*100/M356,0)</f>
        <v>73.03866003811909</v>
      </c>
      <c r="Q356" s="132">
        <f ca="1">Q357+Q358</f>
        <v>0</v>
      </c>
      <c r="R356" s="132">
        <f ca="1">R357+R358</f>
        <v>0</v>
      </c>
      <c r="S356" s="132">
        <f ca="1">S357+S358</f>
        <v>0</v>
      </c>
      <c r="T356" s="132">
        <f t="shared" ref="T356:T364" ca="1" si="97">IF(Q356&gt;0,S356*100/Q356,0)</f>
        <v>0</v>
      </c>
      <c r="U356" s="132">
        <f t="shared" ref="U356:U364" ca="1" si="98">IF(R356&gt;0,S356*100/R356,0)</f>
        <v>0</v>
      </c>
    </row>
    <row r="357" spans="1:21" ht="18.75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8" ca="1" si="99">L360+L363</f>
        <v>0</v>
      </c>
      <c r="M357" s="47">
        <f t="shared" ca="1" si="99"/>
        <v>0</v>
      </c>
      <c r="N357" s="47">
        <f t="shared" ca="1" si="99"/>
        <v>0</v>
      </c>
      <c r="O357" s="47">
        <f t="shared" ca="1" si="95"/>
        <v>0</v>
      </c>
      <c r="P357" s="47">
        <f t="shared" ca="1" si="96"/>
        <v>0</v>
      </c>
      <c r="Q357" s="47">
        <f t="shared" ref="Q357:S358" ca="1" si="100">Q360+Q363</f>
        <v>0</v>
      </c>
      <c r="R357" s="47">
        <f t="shared" ca="1" si="100"/>
        <v>0</v>
      </c>
      <c r="S357" s="47">
        <f t="shared" ca="1" si="100"/>
        <v>0</v>
      </c>
      <c r="T357" s="49">
        <f t="shared" ca="1" si="97"/>
        <v>0</v>
      </c>
      <c r="U357" s="49">
        <f t="shared" ca="1" si="98"/>
        <v>0</v>
      </c>
    </row>
    <row r="358" spans="1:21" ht="18.75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ca="1" si="99"/>
        <v>6318015</v>
      </c>
      <c r="M358" s="47">
        <f t="shared" ca="1" si="99"/>
        <v>6403615</v>
      </c>
      <c r="N358" s="47">
        <f t="shared" ca="1" si="99"/>
        <v>4677114.59</v>
      </c>
      <c r="O358" s="47">
        <f t="shared" ca="1" si="95"/>
        <v>74.02822864459803</v>
      </c>
      <c r="P358" s="47">
        <f t="shared" ca="1" si="96"/>
        <v>73.03866003811909</v>
      </c>
      <c r="Q358" s="47">
        <f t="shared" ca="1" si="100"/>
        <v>0</v>
      </c>
      <c r="R358" s="47">
        <f t="shared" ca="1" si="100"/>
        <v>0</v>
      </c>
      <c r="S358" s="47">
        <f t="shared" ca="1" si="100"/>
        <v>0</v>
      </c>
      <c r="T358" s="47">
        <f t="shared" ca="1" si="97"/>
        <v>0</v>
      </c>
      <c r="U358" s="47">
        <f t="shared" ca="1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ca="1">L360+L361</f>
        <v>6318015</v>
      </c>
      <c r="M359" s="47">
        <f ca="1">M360+M361</f>
        <v>6403615</v>
      </c>
      <c r="N359" s="47">
        <f ca="1">N360+N361</f>
        <v>4677114.59</v>
      </c>
      <c r="O359" s="47">
        <f t="shared" ca="1" si="95"/>
        <v>74.02822864459803</v>
      </c>
      <c r="P359" s="47">
        <f t="shared" ca="1" si="96"/>
        <v>73.03866003811909</v>
      </c>
      <c r="Q359" s="47">
        <f ca="1">Q360+Q361</f>
        <v>0</v>
      </c>
      <c r="R359" s="47">
        <f ca="1">R360+R361</f>
        <v>0</v>
      </c>
      <c r="S359" s="47">
        <f ca="1">S360+S361</f>
        <v>0</v>
      </c>
      <c r="T359" s="47">
        <f t="shared" ca="1" si="97"/>
        <v>0</v>
      </c>
      <c r="U359" s="47">
        <f t="shared" ca="1" si="98"/>
        <v>0</v>
      </c>
    </row>
    <row r="360" spans="1:21" ht="18.75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95"/>
        <v>0</v>
      </c>
      <c r="P360" s="47">
        <f t="shared" ca="1" si="96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97"/>
        <v>0</v>
      </c>
      <c r="U360" s="49">
        <f t="shared" ca="1" si="98"/>
        <v>0</v>
      </c>
    </row>
    <row r="361" spans="1:21" ht="18.75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6318015)</f>
        <v>6318015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6403615)</f>
        <v>6403615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4677114.59)</f>
        <v>4677114.59</v>
      </c>
      <c r="O361" s="47">
        <f t="shared" ca="1" si="95"/>
        <v>74.02822864459803</v>
      </c>
      <c r="P361" s="47">
        <f t="shared" ca="1" si="96"/>
        <v>73.03866003811909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97"/>
        <v>0</v>
      </c>
      <c r="U361" s="47">
        <f t="shared" ca="1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 ca="1">Q363+Q364</f>
        <v>0</v>
      </c>
      <c r="R362" s="47">
        <f ca="1">R363+R364</f>
        <v>0</v>
      </c>
      <c r="S362" s="47">
        <f ca="1">S363+S364</f>
        <v>0</v>
      </c>
      <c r="T362" s="47">
        <f t="shared" ca="1" si="97"/>
        <v>0</v>
      </c>
      <c r="U362" s="47">
        <f t="shared" ca="1" si="98"/>
        <v>0</v>
      </c>
    </row>
    <row r="363" spans="1:21" ht="18.75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95"/>
        <v>0</v>
      </c>
      <c r="P363" s="47">
        <f t="shared" ca="1" si="96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97"/>
        <v>0</v>
      </c>
      <c r="U363" s="49">
        <f t="shared" ca="1" si="98"/>
        <v>0</v>
      </c>
    </row>
    <row r="364" spans="1:21" ht="18.75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95"/>
        <v>0</v>
      </c>
      <c r="P364" s="47">
        <f t="shared" ca="1" si="96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97"/>
        <v>0</v>
      </c>
      <c r="U364" s="47">
        <f t="shared" ca="1" si="98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ca="1">I371</f>
        <v>2675</v>
      </c>
      <c r="J365" s="228">
        <f ca="1">J371</f>
        <v>2436</v>
      </c>
      <c r="K365" s="229">
        <f ca="1">IF(I365&gt;0,J365*100/I365,0)</f>
        <v>91.065420560747668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1526)</f>
        <v>1526</v>
      </c>
      <c r="K367" s="47">
        <f t="shared" ref="K367:K372" si="10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7360)</f>
        <v>7360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13194.93)</f>
        <v>13194.93</v>
      </c>
      <c r="K368" s="47">
        <f t="shared" ca="1" si="101"/>
        <v>179.27894021739129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2675)</f>
        <v>2675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3095)</f>
        <v>3095</v>
      </c>
      <c r="K369" s="47">
        <f t="shared" ca="1" si="101"/>
        <v>115.70093457943925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37271.52)</f>
        <v>37271.519999999997</v>
      </c>
      <c r="K370" s="47">
        <f t="shared" si="10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2675)</f>
        <v>2675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2436)</f>
        <v>2436</v>
      </c>
      <c r="K371" s="47">
        <f t="shared" ca="1" si="101"/>
        <v>91.065420560747668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30699.3299999999)</f>
        <v>30699.3299999999</v>
      </c>
      <c r="K372" s="47">
        <f t="shared" si="10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410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ca="1">L376+L377</f>
        <v>0</v>
      </c>
      <c r="M375" s="132">
        <f ca="1">M376+M377</f>
        <v>0</v>
      </c>
      <c r="N375" s="132">
        <f ca="1">N376+N377</f>
        <v>0</v>
      </c>
      <c r="O375" s="132">
        <f t="shared" ref="O375:O383" ca="1" si="102">IF(L375&gt;0,N375*100/L375,0)</f>
        <v>0</v>
      </c>
      <c r="P375" s="132">
        <f t="shared" ref="P375:P383" ca="1" si="103">IF(M375&gt;0,N375*100/M375,0)</f>
        <v>0</v>
      </c>
      <c r="Q375" s="132">
        <f ca="1">Q376+Q377</f>
        <v>618750</v>
      </c>
      <c r="R375" s="132">
        <f ca="1">R376+R377</f>
        <v>353125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7" ca="1" si="106">L379+L382</f>
        <v>0</v>
      </c>
      <c r="M376" s="49">
        <f t="shared" ca="1" si="106"/>
        <v>0</v>
      </c>
      <c r="N376" s="49">
        <f t="shared" ca="1" si="106"/>
        <v>0</v>
      </c>
      <c r="O376" s="49">
        <f t="shared" ca="1" si="102"/>
        <v>0</v>
      </c>
      <c r="P376" s="49">
        <f t="shared" ca="1" si="103"/>
        <v>0</v>
      </c>
      <c r="Q376" s="49">
        <f t="shared" ref="Q376:S377" ca="1" si="107">Q379+Q382</f>
        <v>0</v>
      </c>
      <c r="R376" s="49">
        <f t="shared" ca="1" si="107"/>
        <v>0</v>
      </c>
      <c r="S376" s="49">
        <f t="shared" ca="1" si="107"/>
        <v>0</v>
      </c>
      <c r="T376" s="49">
        <f t="shared" ca="1" si="104"/>
        <v>0</v>
      </c>
      <c r="U376" s="49">
        <f t="shared" ca="1" si="105"/>
        <v>0</v>
      </c>
    </row>
    <row r="377" spans="1:21" ht="18.75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ca="1" si="106"/>
        <v>0</v>
      </c>
      <c r="M377" s="47">
        <f t="shared" ca="1" si="106"/>
        <v>0</v>
      </c>
      <c r="N377" s="47">
        <f t="shared" ca="1" si="106"/>
        <v>0</v>
      </c>
      <c r="O377" s="47">
        <f t="shared" ca="1" si="102"/>
        <v>0</v>
      </c>
      <c r="P377" s="47">
        <f t="shared" ca="1" si="103"/>
        <v>0</v>
      </c>
      <c r="Q377" s="47">
        <f t="shared" ca="1" si="107"/>
        <v>618750</v>
      </c>
      <c r="R377" s="47">
        <f t="shared" ca="1" si="107"/>
        <v>353125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ca="1">L379+L380</f>
        <v>0</v>
      </c>
      <c r="M378" s="47">
        <f ca="1">M379+M380</f>
        <v>0</v>
      </c>
      <c r="N378" s="47">
        <f ca="1">N379+N380</f>
        <v>0</v>
      </c>
      <c r="O378" s="47">
        <f t="shared" ca="1" si="102"/>
        <v>0</v>
      </c>
      <c r="P378" s="47">
        <f t="shared" ca="1" si="103"/>
        <v>0</v>
      </c>
      <c r="Q378" s="47">
        <f ca="1">Q379+Q380</f>
        <v>618750</v>
      </c>
      <c r="R378" s="47">
        <f ca="1">R379+R380</f>
        <v>353125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102"/>
        <v>0</v>
      </c>
      <c r="P379" s="49">
        <f t="shared" ca="1" si="103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104"/>
        <v>0</v>
      </c>
      <c r="U379" s="49">
        <f t="shared" ca="1" si="105"/>
        <v>0</v>
      </c>
    </row>
    <row r="380" spans="1:21" ht="18.75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0)</f>
        <v>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0)</f>
        <v>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0)</f>
        <v>0</v>
      </c>
      <c r="O380" s="47">
        <f t="shared" ca="1" si="102"/>
        <v>0</v>
      </c>
      <c r="P380" s="47">
        <f t="shared" ca="1" si="103"/>
        <v>0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353125)</f>
        <v>353125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ca="1">L382+L383</f>
        <v>0</v>
      </c>
      <c r="M381" s="47">
        <f ca="1">M382+M383</f>
        <v>0</v>
      </c>
      <c r="N381" s="47">
        <f ca="1">N382+N383</f>
        <v>0</v>
      </c>
      <c r="O381" s="47">
        <f t="shared" ca="1" si="102"/>
        <v>0</v>
      </c>
      <c r="P381" s="47">
        <f t="shared" ca="1" si="103"/>
        <v>0</v>
      </c>
      <c r="Q381" s="47">
        <f ca="1">Q382+Q383</f>
        <v>0</v>
      </c>
      <c r="R381" s="47">
        <f ca="1">R382+R383</f>
        <v>0</v>
      </c>
      <c r="S381" s="47">
        <f ca="1">S382+S383</f>
        <v>0</v>
      </c>
      <c r="T381" s="47">
        <f t="shared" ca="1" si="104"/>
        <v>0</v>
      </c>
      <c r="U381" s="47">
        <f t="shared" ca="1" si="105"/>
        <v>0</v>
      </c>
    </row>
    <row r="382" spans="1:21" ht="18.75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102"/>
        <v>0</v>
      </c>
      <c r="P382" s="49">
        <f t="shared" ca="1" si="103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104"/>
        <v>0</v>
      </c>
      <c r="U382" s="49">
        <f t="shared" ca="1" si="105"/>
        <v>0</v>
      </c>
    </row>
    <row r="383" spans="1:21" ht="18.75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102"/>
        <v>0</v>
      </c>
      <c r="P383" s="47">
        <f t="shared" ca="1" si="103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104"/>
        <v>0</v>
      </c>
      <c r="U383" s="47">
        <f t="shared" ca="1" si="105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23)</f>
        <v>23</v>
      </c>
      <c r="K385" s="47">
        <f ca="1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410)</f>
        <v>410</v>
      </c>
      <c r="K386" s="47">
        <f ca="1">IF(I386&gt;0,J386*100/I386,0)</f>
        <v>4.141414141414141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159"/>
      <c r="B387" s="159"/>
      <c r="C387" s="159"/>
      <c r="D387" s="159"/>
      <c r="E387" s="326" t="s">
        <v>155</v>
      </c>
      <c r="F387" s="159"/>
      <c r="G387" s="191"/>
      <c r="H387" s="158" t="s">
        <v>34</v>
      </c>
      <c r="I387" s="327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27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49">
        <f ca="1">IF(I387&gt;0,J387*100/I387,0)</f>
        <v>0</v>
      </c>
      <c r="L387" s="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x14ac:dyDescent="0.25">
      <c r="A388" s="159"/>
      <c r="B388" s="159"/>
      <c r="C388" s="159"/>
      <c r="D388" s="159"/>
      <c r="E388" s="159"/>
      <c r="F388" s="159"/>
      <c r="G388" s="191"/>
      <c r="H388" s="158" t="s">
        <v>46</v>
      </c>
      <c r="I388" s="327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27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49">
        <f ca="1">IF(I388&gt;0,J388*100/I388,0)</f>
        <v>0</v>
      </c>
      <c r="L388" s="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2">
        <f>I402</f>
        <v>0</v>
      </c>
      <c r="J391" s="332">
        <f>J402</f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ca="1">L393+L394</f>
        <v>0</v>
      </c>
      <c r="M392" s="132">
        <f ca="1">M393+M394</f>
        <v>0</v>
      </c>
      <c r="N392" s="132">
        <f ca="1">N393+N394</f>
        <v>0</v>
      </c>
      <c r="O392" s="132">
        <f t="shared" ref="O392:O400" ca="1" si="108">IF(L392&gt;0,N392*100/L392,0)</f>
        <v>0</v>
      </c>
      <c r="P392" s="132">
        <f t="shared" ref="P392:P400" ca="1" si="109"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t="shared" ref="T392:T400" ca="1" si="110">IF(Q392&gt;0,S392*100/Q392,0)</f>
        <v>0</v>
      </c>
      <c r="U392" s="132">
        <f t="shared" ref="U392:U400" ca="1" si="111">IF(R392&gt;0,S392*100/R392,0)</f>
        <v>0</v>
      </c>
    </row>
    <row r="393" spans="1:21" ht="18.75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4" ca="1" si="112">L396+L399</f>
        <v>0</v>
      </c>
      <c r="M393" s="49">
        <f t="shared" ca="1" si="112"/>
        <v>0</v>
      </c>
      <c r="N393" s="49">
        <f t="shared" ca="1" si="112"/>
        <v>0</v>
      </c>
      <c r="O393" s="49">
        <f t="shared" ca="1" si="108"/>
        <v>0</v>
      </c>
      <c r="P393" s="49">
        <f t="shared" ca="1" si="109"/>
        <v>0</v>
      </c>
      <c r="Q393" s="49">
        <f t="shared" ref="Q393:S394" ca="1" si="113">Q396+Q399</f>
        <v>0</v>
      </c>
      <c r="R393" s="49">
        <f t="shared" ca="1" si="113"/>
        <v>0</v>
      </c>
      <c r="S393" s="49">
        <f t="shared" ca="1" si="113"/>
        <v>0</v>
      </c>
      <c r="T393" s="49">
        <f t="shared" ca="1" si="110"/>
        <v>0</v>
      </c>
      <c r="U393" s="49">
        <f t="shared" ca="1" si="111"/>
        <v>0</v>
      </c>
    </row>
    <row r="394" spans="1:21" ht="18.75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ca="1" si="112"/>
        <v>0</v>
      </c>
      <c r="M394" s="47">
        <f t="shared" ca="1" si="112"/>
        <v>0</v>
      </c>
      <c r="N394" s="47">
        <f t="shared" ca="1" si="112"/>
        <v>0</v>
      </c>
      <c r="O394" s="47">
        <f t="shared" ca="1" si="108"/>
        <v>0</v>
      </c>
      <c r="P394" s="47">
        <f t="shared" ca="1" si="109"/>
        <v>0</v>
      </c>
      <c r="Q394" s="47">
        <f t="shared" ca="1" si="113"/>
        <v>0</v>
      </c>
      <c r="R394" s="47">
        <f t="shared" ca="1" si="113"/>
        <v>0</v>
      </c>
      <c r="S394" s="47">
        <f t="shared" ca="1" si="113"/>
        <v>0</v>
      </c>
      <c r="T394" s="47">
        <f t="shared" ca="1" si="110"/>
        <v>0</v>
      </c>
      <c r="U394" s="47">
        <f t="shared" ca="1" si="111"/>
        <v>0</v>
      </c>
    </row>
    <row r="395" spans="1:21" ht="18.75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ca="1">L396+L397</f>
        <v>0</v>
      </c>
      <c r="M395" s="47">
        <f ca="1">M396+M397</f>
        <v>0</v>
      </c>
      <c r="N395" s="47">
        <f ca="1">N396+N397</f>
        <v>0</v>
      </c>
      <c r="O395" s="47">
        <f t="shared" ca="1" si="108"/>
        <v>0</v>
      </c>
      <c r="P395" s="47">
        <f t="shared" ca="1" si="109"/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t="shared" ca="1" si="110"/>
        <v>0</v>
      </c>
      <c r="U395" s="47">
        <f t="shared" ca="1" si="111"/>
        <v>0</v>
      </c>
    </row>
    <row r="396" spans="1:21" ht="18.75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108"/>
        <v>0</v>
      </c>
      <c r="P396" s="49">
        <f t="shared" ca="1" si="109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110"/>
        <v>0</v>
      </c>
      <c r="U396" s="49">
        <f t="shared" ca="1" si="111"/>
        <v>0</v>
      </c>
    </row>
    <row r="397" spans="1:21" ht="18.75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108"/>
        <v>0</v>
      </c>
      <c r="P397" s="47">
        <f t="shared" ca="1" si="109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110"/>
        <v>0</v>
      </c>
      <c r="U397" s="47">
        <f t="shared" ca="1" si="111"/>
        <v>0</v>
      </c>
    </row>
    <row r="398" spans="1:21" ht="18.75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ca="1">L399+L400</f>
        <v>0</v>
      </c>
      <c r="M398" s="47">
        <f ca="1">M399+M400</f>
        <v>0</v>
      </c>
      <c r="N398" s="47">
        <f ca="1">N399+N400</f>
        <v>0</v>
      </c>
      <c r="O398" s="47">
        <f t="shared" ca="1" si="108"/>
        <v>0</v>
      </c>
      <c r="P398" s="47">
        <f t="shared" ca="1" si="109"/>
        <v>0</v>
      </c>
      <c r="Q398" s="47">
        <f ca="1">Q399+Q400</f>
        <v>0</v>
      </c>
      <c r="R398" s="47">
        <f ca="1">R399+R400</f>
        <v>0</v>
      </c>
      <c r="S398" s="47">
        <f ca="1">S399+S400</f>
        <v>0</v>
      </c>
      <c r="T398" s="47">
        <f t="shared" ca="1" si="110"/>
        <v>0</v>
      </c>
      <c r="U398" s="47">
        <f t="shared" ca="1" si="111"/>
        <v>0</v>
      </c>
    </row>
    <row r="399" spans="1:21" ht="18.75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108"/>
        <v>0</v>
      </c>
      <c r="P399" s="49">
        <f t="shared" ca="1" si="109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110"/>
        <v>0</v>
      </c>
      <c r="U399" s="49">
        <f t="shared" ca="1" si="111"/>
        <v>0</v>
      </c>
    </row>
    <row r="400" spans="1:21" ht="18.75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108"/>
        <v>0</v>
      </c>
      <c r="P400" s="47">
        <f t="shared" ca="1" si="109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110"/>
        <v>0</v>
      </c>
      <c r="U400" s="47">
        <f t="shared" ca="1" si="111"/>
        <v>0</v>
      </c>
    </row>
    <row r="401" spans="1:21" ht="19.5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 ca="1">J423</f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35" t="s">
        <v>18</v>
      </c>
      <c r="D413" s="781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132">
        <f ca="1">L414+L415</f>
        <v>0</v>
      </c>
      <c r="M413" s="132">
        <f ca="1">M414+M415</f>
        <v>0</v>
      </c>
      <c r="N413" s="132">
        <f ca="1">N414+N415</f>
        <v>0</v>
      </c>
      <c r="O413" s="132">
        <f t="shared" ref="O413:O421" ca="1" si="114">IF(L413&gt;0,N413*100/L413,0)</f>
        <v>0</v>
      </c>
      <c r="P413" s="132">
        <f t="shared" ref="P413:P421" ca="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9">
        <f t="shared" ref="L414:N415" ca="1" si="118">L417+L420</f>
        <v>0</v>
      </c>
      <c r="M414" s="49">
        <f t="shared" ca="1" si="118"/>
        <v>0</v>
      </c>
      <c r="N414" s="49">
        <f t="shared" ca="1" si="118"/>
        <v>0</v>
      </c>
      <c r="O414" s="49">
        <f t="shared" ca="1" si="114"/>
        <v>0</v>
      </c>
      <c r="P414" s="49">
        <f t="shared" ca="1" si="115"/>
        <v>0</v>
      </c>
      <c r="Q414" s="49">
        <f t="shared" ref="Q414:S415" ca="1" si="119">Q417+Q420</f>
        <v>0</v>
      </c>
      <c r="R414" s="49">
        <f t="shared" ca="1" si="119"/>
        <v>0</v>
      </c>
      <c r="S414" s="49">
        <f t="shared" ca="1" si="119"/>
        <v>0</v>
      </c>
      <c r="T414" s="49">
        <f t="shared" ca="1" si="116"/>
        <v>0</v>
      </c>
      <c r="U414" s="49">
        <f t="shared" ca="1" si="117"/>
        <v>0</v>
      </c>
    </row>
    <row r="415" spans="1:21" ht="18.75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ca="1" si="118"/>
        <v>0</v>
      </c>
      <c r="M415" s="47">
        <f t="shared" ca="1" si="118"/>
        <v>0</v>
      </c>
      <c r="N415" s="47">
        <f t="shared" ca="1" si="118"/>
        <v>0</v>
      </c>
      <c r="O415" s="47">
        <f t="shared" ca="1" si="114"/>
        <v>0</v>
      </c>
      <c r="P415" s="47">
        <f t="shared" ca="1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7">
        <f ca="1">L417+L418</f>
        <v>0</v>
      </c>
      <c r="M416" s="47">
        <f ca="1">M417+M418</f>
        <v>0</v>
      </c>
      <c r="N416" s="47">
        <f ca="1">N417+N418</f>
        <v>0</v>
      </c>
      <c r="O416" s="47">
        <f t="shared" ca="1" si="114"/>
        <v>0</v>
      </c>
      <c r="P416" s="47">
        <f t="shared" ca="1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114"/>
        <v>0</v>
      </c>
      <c r="P417" s="49">
        <f t="shared" ca="1" si="1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116"/>
        <v>0</v>
      </c>
      <c r="U417" s="49">
        <f t="shared" ca="1" si="117"/>
        <v>0</v>
      </c>
    </row>
    <row r="418" spans="1:21" ht="18.75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0)</f>
        <v>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0)</f>
        <v>0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0)</f>
        <v>0</v>
      </c>
      <c r="O418" s="47">
        <f t="shared" ca="1" si="114"/>
        <v>0</v>
      </c>
      <c r="P418" s="47">
        <f t="shared" ca="1" si="115"/>
        <v>0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0)</f>
        <v>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0)</f>
        <v>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ca="1">L420+L421</f>
        <v>0</v>
      </c>
      <c r="M419" s="47">
        <f ca="1">M420+M421</f>
        <v>0</v>
      </c>
      <c r="N419" s="47">
        <f ca="1">N420+N421</f>
        <v>0</v>
      </c>
      <c r="O419" s="47">
        <f t="shared" ca="1" si="114"/>
        <v>0</v>
      </c>
      <c r="P419" s="47">
        <f t="shared" ca="1" si="115"/>
        <v>0</v>
      </c>
      <c r="Q419" s="47">
        <f ca="1">Q420+Q421</f>
        <v>0</v>
      </c>
      <c r="R419" s="47">
        <f ca="1">R420+R421</f>
        <v>0</v>
      </c>
      <c r="S419" s="47">
        <f ca="1">S420+S421</f>
        <v>0</v>
      </c>
      <c r="T419" s="47">
        <f t="shared" ca="1" si="116"/>
        <v>0</v>
      </c>
      <c r="U419" s="47">
        <f t="shared" ca="1" si="117"/>
        <v>0</v>
      </c>
    </row>
    <row r="420" spans="1:21" ht="18.75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114"/>
        <v>0</v>
      </c>
      <c r="P420" s="49">
        <f t="shared" ca="1" si="1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116"/>
        <v>0</v>
      </c>
      <c r="U420" s="49">
        <f t="shared" ca="1" si="117"/>
        <v>0</v>
      </c>
    </row>
    <row r="421" spans="1:21" ht="18.75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114"/>
        <v>0</v>
      </c>
      <c r="P421" s="47">
        <f t="shared" ca="1" si="1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116"/>
        <v>0</v>
      </c>
      <c r="U421" s="47">
        <f t="shared" ca="1" si="117"/>
        <v>0</v>
      </c>
    </row>
    <row r="422" spans="1:21" ht="19.5" x14ac:dyDescent="0.3">
      <c r="A422" s="217"/>
      <c r="B422" s="159"/>
      <c r="C422" s="335" t="s">
        <v>18</v>
      </c>
      <c r="D422" s="337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 ca="1">J440</f>
        <v>0</v>
      </c>
      <c r="K423" s="132">
        <f ca="1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0)</f>
        <v>0</v>
      </c>
      <c r="J424" s="147">
        <f ca="1">J426+J428+J430</f>
        <v>0</v>
      </c>
      <c r="K424" s="132">
        <f ca="1">IF(I424&gt;0,J424*100/I424,0)</f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0)</f>
        <v>0</v>
      </c>
      <c r="J425" s="147">
        <f ca="1">J427+J429+J431</f>
        <v>0</v>
      </c>
      <c r="K425" s="132">
        <f ca="1">IF(I425&gt;0,J425*100/I425,0)</f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0)</f>
        <v>0</v>
      </c>
      <c r="J432" s="147">
        <f ca="1">J434+J436+J438</f>
        <v>0</v>
      </c>
      <c r="K432" s="132">
        <f ca="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0)</f>
        <v>0</v>
      </c>
      <c r="J433" s="147">
        <f ca="1">J435+J437+J439</f>
        <v>0</v>
      </c>
      <c r="K433" s="132">
        <f ca="1">IF(I433&gt;0,J433*100/I433,0)</f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0)</f>
        <v>0</v>
      </c>
      <c r="J440" s="147">
        <f ca="1">J442+J444+J446+J452+J454</f>
        <v>0</v>
      </c>
      <c r="K440" s="132">
        <f ca="1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0)</f>
        <v>0</v>
      </c>
      <c r="J441" s="147">
        <f ca="1">J443+J445+J447+J453+J455</f>
        <v>0</v>
      </c>
      <c r="K441" s="132">
        <f ca="1">IF(I441&gt;0,J441*100/I441,0)</f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ca="1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ca="1">J449+J451</f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38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 ca="1">J457</f>
        <v>0</v>
      </c>
      <c r="K456" s="132">
        <f ca="1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0)</f>
        <v>0</v>
      </c>
      <c r="J457" s="147">
        <f ca="1">J459+J467+J473</f>
        <v>0</v>
      </c>
      <c r="K457" s="132">
        <f ca="1">IF(I457&gt;0,J457*100/I457,0)</f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ca="1">J460+J468+J474</f>
        <v>0</v>
      </c>
      <c r="K458" s="132">
        <f ca="1">IF(I458&gt;0,J458*100/I458,0)</f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ca="1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ca="1">J462+J464</f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 ca="1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ca="1">J470+J472</f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 ca="1">J478+J480</f>
        <v>0</v>
      </c>
      <c r="K475" s="132">
        <f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ca="1">J478+J480</f>
        <v>0</v>
      </c>
      <c r="K476" s="132">
        <f>IF(I476&gt;0,J476*100/I476,0)</f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ca="1">J479+J481</f>
        <v>0</v>
      </c>
      <c r="K477" s="132">
        <f>IF(I477&gt;0,J477*100/I477,0)</f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52">
        <f ca="1">J480</f>
        <v>0</v>
      </c>
      <c r="J484" s="147">
        <f ca="1">J486+J488+J490</f>
        <v>0</v>
      </c>
      <c r="K484" s="132">
        <f ca="1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52">
        <f ca="1">J481</f>
        <v>0</v>
      </c>
      <c r="J485" s="147">
        <f ca="1">J487+J489+J491</f>
        <v>0</v>
      </c>
      <c r="K485" s="132">
        <f ca="1">IF(I485&gt;0,J485*100/I485,0)</f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210</v>
      </c>
      <c r="J492" s="310">
        <f ca="1">J503</f>
        <v>0</v>
      </c>
      <c r="K492" s="311">
        <f ca="1">IF(I492&gt;0,J492*100/I492,0)</f>
        <v>0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781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132">
        <f ca="1">L494+L495</f>
        <v>0</v>
      </c>
      <c r="M493" s="132">
        <f ca="1">M494+M495</f>
        <v>0</v>
      </c>
      <c r="N493" s="132">
        <f ca="1">N494+N495</f>
        <v>0</v>
      </c>
      <c r="O493" s="132">
        <f t="shared" ref="O493:O501" ca="1" si="120">IF(L493&gt;0,N493*100/L493,0)</f>
        <v>0</v>
      </c>
      <c r="P493" s="132">
        <f t="shared" ref="P493:P501" ca="1" si="121">IF(M493&gt;0,N493*100/M493,0)</f>
        <v>0</v>
      </c>
      <c r="Q493" s="132">
        <f ca="1">Q494+Q495</f>
        <v>2737845</v>
      </c>
      <c r="R493" s="132">
        <f ca="1">R494+R495</f>
        <v>2737845</v>
      </c>
      <c r="S493" s="132">
        <f ca="1">S494+S495</f>
        <v>312378.58999999898</v>
      </c>
      <c r="T493" s="132">
        <f t="shared" ref="T493:T501" ca="1" si="122">IF(Q493&gt;0,S493*100/Q493,0)</f>
        <v>11.409652116902125</v>
      </c>
      <c r="U493" s="132">
        <f t="shared" ref="U493:U501" ca="1" si="123">IF(R493&gt;0,S493*100/R493,0)</f>
        <v>11.409652116902125</v>
      </c>
    </row>
    <row r="494" spans="1:21" ht="18.75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5" ca="1" si="124">L497+L500</f>
        <v>0</v>
      </c>
      <c r="M494" s="49">
        <f t="shared" ca="1" si="124"/>
        <v>0</v>
      </c>
      <c r="N494" s="49">
        <f t="shared" ca="1" si="124"/>
        <v>0</v>
      </c>
      <c r="O494" s="49">
        <f t="shared" ca="1" si="120"/>
        <v>0</v>
      </c>
      <c r="P494" s="49">
        <f t="shared" ca="1" si="121"/>
        <v>0</v>
      </c>
      <c r="Q494" s="49">
        <f t="shared" ref="Q494:S495" ca="1" si="125">Q497+Q500</f>
        <v>0</v>
      </c>
      <c r="R494" s="49">
        <f t="shared" ca="1" si="125"/>
        <v>0</v>
      </c>
      <c r="S494" s="49">
        <f t="shared" ca="1" si="125"/>
        <v>0</v>
      </c>
      <c r="T494" s="49">
        <f t="shared" ca="1" si="122"/>
        <v>0</v>
      </c>
      <c r="U494" s="49">
        <f t="shared" ca="1" si="123"/>
        <v>0</v>
      </c>
    </row>
    <row r="495" spans="1:21" ht="18.75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ca="1" si="124"/>
        <v>0</v>
      </c>
      <c r="M495" s="47">
        <f t="shared" ca="1" si="124"/>
        <v>0</v>
      </c>
      <c r="N495" s="47">
        <f t="shared" ca="1" si="124"/>
        <v>0</v>
      </c>
      <c r="O495" s="47">
        <f t="shared" ca="1" si="120"/>
        <v>0</v>
      </c>
      <c r="P495" s="47">
        <f t="shared" ca="1" si="121"/>
        <v>0</v>
      </c>
      <c r="Q495" s="47">
        <f t="shared" ca="1" si="125"/>
        <v>2737845</v>
      </c>
      <c r="R495" s="47">
        <f t="shared" ca="1" si="125"/>
        <v>2737845</v>
      </c>
      <c r="S495" s="47">
        <f t="shared" ca="1" si="125"/>
        <v>312378.58999999898</v>
      </c>
      <c r="T495" s="47">
        <f t="shared" ca="1" si="122"/>
        <v>11.409652116902125</v>
      </c>
      <c r="U495" s="47">
        <f t="shared" ca="1" si="123"/>
        <v>11.409652116902125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ca="1">L497+L498</f>
        <v>0</v>
      </c>
      <c r="M496" s="47">
        <f ca="1">M497+M498</f>
        <v>0</v>
      </c>
      <c r="N496" s="47">
        <f ca="1">N497+N498</f>
        <v>0</v>
      </c>
      <c r="O496" s="47">
        <f t="shared" ca="1" si="120"/>
        <v>0</v>
      </c>
      <c r="P496" s="47">
        <f t="shared" ca="1" si="121"/>
        <v>0</v>
      </c>
      <c r="Q496" s="47">
        <f ca="1">Q497+Q498</f>
        <v>2737845</v>
      </c>
      <c r="R496" s="47">
        <f ca="1">R497+R498</f>
        <v>2737845</v>
      </c>
      <c r="S496" s="47">
        <f ca="1">S497+S498</f>
        <v>312378.58999999898</v>
      </c>
      <c r="T496" s="47">
        <f t="shared" ca="1" si="122"/>
        <v>11.409652116902125</v>
      </c>
      <c r="U496" s="47">
        <f t="shared" ca="1" si="123"/>
        <v>11.409652116902125</v>
      </c>
    </row>
    <row r="497" spans="1:21" ht="18.75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120"/>
        <v>0</v>
      </c>
      <c r="P497" s="49">
        <f t="shared" ca="1" si="121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122"/>
        <v>0</v>
      </c>
      <c r="U497" s="49">
        <f t="shared" ca="1" si="123"/>
        <v>0</v>
      </c>
    </row>
    <row r="498" spans="1:21" ht="18.75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0)</f>
        <v>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0)</f>
        <v>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0)</f>
        <v>0</v>
      </c>
      <c r="O498" s="47">
        <f t="shared" ca="1" si="120"/>
        <v>0</v>
      </c>
      <c r="P498" s="47">
        <f t="shared" ca="1" si="121"/>
        <v>0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2737845)</f>
        <v>2737845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312378.589999999)</f>
        <v>312378.58999999898</v>
      </c>
      <c r="T498" s="47">
        <f t="shared" ca="1" si="122"/>
        <v>11.409652116902125</v>
      </c>
      <c r="U498" s="47">
        <f t="shared" ca="1" si="123"/>
        <v>11.409652116902125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ca="1">L500+L501</f>
        <v>0</v>
      </c>
      <c r="M499" s="47">
        <f ca="1">M500+M501</f>
        <v>0</v>
      </c>
      <c r="N499" s="47">
        <f ca="1">N500+N501</f>
        <v>0</v>
      </c>
      <c r="O499" s="47">
        <f t="shared" ca="1" si="120"/>
        <v>0</v>
      </c>
      <c r="P499" s="47">
        <f t="shared" ca="1" si="121"/>
        <v>0</v>
      </c>
      <c r="Q499" s="47">
        <f ca="1">Q500+Q501</f>
        <v>0</v>
      </c>
      <c r="R499" s="47">
        <f ca="1">R500+R501</f>
        <v>0</v>
      </c>
      <c r="S499" s="47">
        <f ca="1">S500+S501</f>
        <v>0</v>
      </c>
      <c r="T499" s="47">
        <f t="shared" ca="1" si="122"/>
        <v>0</v>
      </c>
      <c r="U499" s="47">
        <f t="shared" ca="1" si="123"/>
        <v>0</v>
      </c>
    </row>
    <row r="500" spans="1:21" ht="18.75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120"/>
        <v>0</v>
      </c>
      <c r="P500" s="49">
        <f t="shared" ca="1" si="121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122"/>
        <v>0</v>
      </c>
      <c r="U500" s="49">
        <f t="shared" ca="1" si="123"/>
        <v>0</v>
      </c>
    </row>
    <row r="501" spans="1:21" ht="18.75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120"/>
        <v>0</v>
      </c>
      <c r="P501" s="47">
        <f t="shared" ca="1" si="121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122"/>
        <v>0</v>
      </c>
      <c r="U501" s="47">
        <f t="shared" ca="1" si="123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3" s="132">
        <f t="shared" ref="K503:K509" ca="1" si="126">IF(I503&gt;0,J503*100/I503,0)</f>
        <v>0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60)</f>
        <v>60</v>
      </c>
      <c r="K504" s="47">
        <f t="shared" ca="1" si="126"/>
        <v>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0)</f>
        <v>0</v>
      </c>
      <c r="K505" s="47">
        <f t="shared" ca="1" si="126"/>
        <v>0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0)</f>
        <v>0</v>
      </c>
      <c r="K506" s="47">
        <f t="shared" ca="1" si="126"/>
        <v>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126"/>
        <v>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46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09" s="111">
        <f t="shared" ca="1" si="126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47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351"/>
      <c r="M510" s="351"/>
      <c r="N510" s="351"/>
      <c r="O510" s="351"/>
      <c r="P510" s="352"/>
      <c r="Q510" s="351"/>
      <c r="R510" s="351"/>
      <c r="S510" s="351"/>
      <c r="T510" s="353"/>
      <c r="U510" s="353"/>
    </row>
    <row r="511" spans="1:21" ht="19.5" x14ac:dyDescent="0.3">
      <c r="A511" s="354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359"/>
      <c r="M511" s="359"/>
      <c r="N511" s="359"/>
      <c r="O511" s="359"/>
      <c r="P511" s="359"/>
      <c r="Q511" s="359"/>
      <c r="R511" s="359"/>
      <c r="S511" s="359"/>
      <c r="T511" s="360"/>
      <c r="U511" s="360"/>
    </row>
    <row r="512" spans="1:21" ht="19.5" x14ac:dyDescent="0.3">
      <c r="A512" s="361"/>
      <c r="B512" s="362" t="s">
        <v>207</v>
      </c>
      <c r="C512" s="363"/>
      <c r="D512" s="364"/>
      <c r="E512" s="364"/>
      <c r="F512" s="364"/>
      <c r="G512" s="365"/>
      <c r="H512" s="366" t="s">
        <v>61</v>
      </c>
      <c r="I512" s="367">
        <f>I524</f>
        <v>0</v>
      </c>
      <c r="J512" s="367">
        <f>J524</f>
        <v>0</v>
      </c>
      <c r="K512" s="368">
        <f>IF(I512&gt;0,J512*100/I512,0)</f>
        <v>0</v>
      </c>
      <c r="L512" s="369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ca="1">L514+L515</f>
        <v>12445400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 ca="1">Q514+Q515</f>
        <v>0</v>
      </c>
      <c r="R513" s="132">
        <f ca="1">R514+R515</f>
        <v>0</v>
      </c>
      <c r="S513" s="132">
        <f ca="1">S514+S515</f>
        <v>0</v>
      </c>
      <c r="T513" s="132">
        <f t="shared" ref="T513:T521" ca="1" si="129">IF(Q513&gt;0,S513*100/Q513,0)</f>
        <v>0</v>
      </c>
      <c r="U513" s="132">
        <f t="shared" ref="U513:U521" ca="1" si="130">IF(R513&gt;0,S513*100/R513,0)</f>
        <v>0</v>
      </c>
    </row>
    <row r="514" spans="1:21" ht="18.75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5" ca="1" si="131">L517+L520</f>
        <v>0</v>
      </c>
      <c r="M514" s="47">
        <f t="shared" ca="1" si="131"/>
        <v>0</v>
      </c>
      <c r="N514" s="47">
        <f t="shared" ca="1" si="131"/>
        <v>0</v>
      </c>
      <c r="O514" s="47">
        <f t="shared" ca="1" si="127"/>
        <v>0</v>
      </c>
      <c r="P514" s="47">
        <f t="shared" ca="1" si="128"/>
        <v>0</v>
      </c>
      <c r="Q514" s="47">
        <f t="shared" ref="Q514:S515" ca="1" si="132">Q517+Q520</f>
        <v>0</v>
      </c>
      <c r="R514" s="47">
        <f t="shared" ca="1" si="132"/>
        <v>0</v>
      </c>
      <c r="S514" s="47">
        <f t="shared" ca="1" si="132"/>
        <v>0</v>
      </c>
      <c r="T514" s="49">
        <f t="shared" ca="1" si="129"/>
        <v>0</v>
      </c>
      <c r="U514" s="49">
        <f t="shared" ca="1" si="130"/>
        <v>0</v>
      </c>
    </row>
    <row r="515" spans="1:21" ht="18.75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ca="1" si="131"/>
        <v>12445400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ca="1" si="132"/>
        <v>0</v>
      </c>
      <c r="R515" s="47">
        <f t="shared" ca="1" si="132"/>
        <v>0</v>
      </c>
      <c r="S515" s="47">
        <f t="shared" ca="1" si="132"/>
        <v>0</v>
      </c>
      <c r="T515" s="47">
        <f t="shared" ca="1" si="129"/>
        <v>0</v>
      </c>
      <c r="U515" s="47">
        <f t="shared" ca="1" si="130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 ca="1">Q517+Q518</f>
        <v>0</v>
      </c>
      <c r="R516" s="47">
        <f ca="1">R517+R518</f>
        <v>0</v>
      </c>
      <c r="S516" s="47">
        <f ca="1">S517+S518</f>
        <v>0</v>
      </c>
      <c r="T516" s="47">
        <f t="shared" ca="1" si="129"/>
        <v>0</v>
      </c>
      <c r="U516" s="47">
        <f t="shared" ca="1" si="130"/>
        <v>0</v>
      </c>
    </row>
    <row r="517" spans="1:21" ht="18.75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127"/>
        <v>0</v>
      </c>
      <c r="P517" s="47">
        <f t="shared" ca="1" si="128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129"/>
        <v>0</v>
      </c>
      <c r="U517" s="49">
        <f t="shared" ca="1" si="130"/>
        <v>0</v>
      </c>
    </row>
    <row r="518" spans="1:21" ht="18.75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127"/>
        <v>0</v>
      </c>
      <c r="P518" s="47">
        <f t="shared" ca="1" si="128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129"/>
        <v>0</v>
      </c>
      <c r="U518" s="47">
        <f t="shared" ca="1" si="130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ca="1">L520+L521</f>
        <v>12445400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 ca="1">Q520+Q521</f>
        <v>0</v>
      </c>
      <c r="R519" s="47">
        <f ca="1">R520+R521</f>
        <v>0</v>
      </c>
      <c r="S519" s="47">
        <f ca="1">S520+S521</f>
        <v>0</v>
      </c>
      <c r="T519" s="47">
        <f t="shared" ca="1" si="129"/>
        <v>0</v>
      </c>
      <c r="U519" s="47">
        <f t="shared" ca="1" si="130"/>
        <v>0</v>
      </c>
    </row>
    <row r="520" spans="1:21" ht="18.75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127"/>
        <v>0</v>
      </c>
      <c r="P520" s="47">
        <f t="shared" ca="1" si="128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129"/>
        <v>0</v>
      </c>
      <c r="U520" s="49">
        <f t="shared" ca="1" si="130"/>
        <v>0</v>
      </c>
    </row>
    <row r="521" spans="1:21" ht="18.75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12445400)</f>
        <v>12445400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0)</f>
        <v>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1" s="47">
        <f t="shared" ca="1" si="127"/>
        <v>0</v>
      </c>
      <c r="P521" s="47">
        <f t="shared" ca="1" si="128"/>
        <v>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129"/>
        <v>0</v>
      </c>
      <c r="U521" s="47">
        <f t="shared" ca="1" si="130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v>0</v>
      </c>
      <c r="K523" s="47">
        <f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41"/>
      <c r="B524" s="1"/>
      <c r="C524" s="3"/>
      <c r="D524" s="370" t="s">
        <v>209</v>
      </c>
      <c r="E524" s="264"/>
      <c r="F524" s="1"/>
      <c r="G524" s="53"/>
      <c r="H524" s="371" t="s">
        <v>61</v>
      </c>
      <c r="I524" s="197">
        <v>0</v>
      </c>
      <c r="J524" s="197">
        <v>0</v>
      </c>
      <c r="K524" s="111">
        <f>IF(I524&gt;0,J524*100/I524,0)</f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376">
        <f>I545</f>
        <v>0</v>
      </c>
      <c r="J533" s="376">
        <f>J545</f>
        <v>0</v>
      </c>
      <c r="K533" s="368">
        <f>IF(I533&gt;0,J533*100/I533,0)</f>
        <v>0</v>
      </c>
      <c r="L533" s="369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ca="1">L535+L536</f>
        <v>0</v>
      </c>
      <c r="M534" s="132">
        <f ca="1">M535+M536</f>
        <v>0</v>
      </c>
      <c r="N534" s="132">
        <f ca="1">N535+N536</f>
        <v>0</v>
      </c>
      <c r="O534" s="132">
        <f t="shared" ref="O534:O542" ca="1" si="133">IF(L534&gt;0,N534*100/L534,0)</f>
        <v>0</v>
      </c>
      <c r="P534" s="132">
        <f t="shared" ref="P534:P542" ca="1" si="134">IF(M534&gt;0,N534*100/M534,0)</f>
        <v>0</v>
      </c>
      <c r="Q534" s="132">
        <f ca="1">Q535+Q536</f>
        <v>0</v>
      </c>
      <c r="R534" s="132">
        <f ca="1">R535+R536</f>
        <v>0</v>
      </c>
      <c r="S534" s="132">
        <f ca="1">S535+S536</f>
        <v>0</v>
      </c>
      <c r="T534" s="132">
        <f t="shared" ref="T534:T542" ca="1" si="135">IF(Q534&gt;0,S534*100/Q534,0)</f>
        <v>0</v>
      </c>
      <c r="U534" s="132">
        <f t="shared" ref="U534:U542" ca="1" si="136">IF(R534&gt;0,S534*100/R534,0)</f>
        <v>0</v>
      </c>
    </row>
    <row r="535" spans="1:21" ht="18.75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6" ca="1" si="137">L538+L541</f>
        <v>0</v>
      </c>
      <c r="M535" s="49">
        <f t="shared" ca="1" si="137"/>
        <v>0</v>
      </c>
      <c r="N535" s="49">
        <f t="shared" ca="1" si="137"/>
        <v>0</v>
      </c>
      <c r="O535" s="49">
        <f t="shared" ca="1" si="133"/>
        <v>0</v>
      </c>
      <c r="P535" s="49">
        <f t="shared" ca="1" si="134"/>
        <v>0</v>
      </c>
      <c r="Q535" s="49">
        <f t="shared" ref="Q535:S536" ca="1" si="138">Q538+Q541</f>
        <v>0</v>
      </c>
      <c r="R535" s="49">
        <f t="shared" ca="1" si="138"/>
        <v>0</v>
      </c>
      <c r="S535" s="49">
        <f t="shared" ca="1" si="138"/>
        <v>0</v>
      </c>
      <c r="T535" s="49">
        <f t="shared" ca="1" si="135"/>
        <v>0</v>
      </c>
      <c r="U535" s="49">
        <f t="shared" ca="1" si="136"/>
        <v>0</v>
      </c>
    </row>
    <row r="536" spans="1:21" ht="18.75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ca="1" si="137"/>
        <v>0</v>
      </c>
      <c r="M536" s="47">
        <f t="shared" ca="1" si="137"/>
        <v>0</v>
      </c>
      <c r="N536" s="47">
        <f t="shared" ca="1" si="137"/>
        <v>0</v>
      </c>
      <c r="O536" s="47">
        <f t="shared" ca="1" si="133"/>
        <v>0</v>
      </c>
      <c r="P536" s="47">
        <f t="shared" ca="1" si="134"/>
        <v>0</v>
      </c>
      <c r="Q536" s="47">
        <f t="shared" ca="1" si="138"/>
        <v>0</v>
      </c>
      <c r="R536" s="47">
        <f t="shared" ca="1" si="138"/>
        <v>0</v>
      </c>
      <c r="S536" s="47">
        <f t="shared" ca="1" si="138"/>
        <v>0</v>
      </c>
      <c r="T536" s="47">
        <f t="shared" ca="1" si="135"/>
        <v>0</v>
      </c>
      <c r="U536" s="47">
        <f t="shared" ca="1" si="136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ca="1">L538+L539</f>
        <v>0</v>
      </c>
      <c r="M537" s="47">
        <f ca="1">M538+M539</f>
        <v>0</v>
      </c>
      <c r="N537" s="47">
        <f ca="1">N538+N539</f>
        <v>0</v>
      </c>
      <c r="O537" s="47">
        <f t="shared" ca="1" si="133"/>
        <v>0</v>
      </c>
      <c r="P537" s="47">
        <f t="shared" ca="1" si="134"/>
        <v>0</v>
      </c>
      <c r="Q537" s="47">
        <f ca="1">Q538+Q539</f>
        <v>0</v>
      </c>
      <c r="R537" s="47">
        <f ca="1">R538+R539</f>
        <v>0</v>
      </c>
      <c r="S537" s="47">
        <f ca="1">S538+S539</f>
        <v>0</v>
      </c>
      <c r="T537" s="47">
        <f t="shared" ca="1" si="135"/>
        <v>0</v>
      </c>
      <c r="U537" s="47">
        <f t="shared" ca="1" si="136"/>
        <v>0</v>
      </c>
    </row>
    <row r="538" spans="1:21" ht="18.75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133"/>
        <v>0</v>
      </c>
      <c r="P538" s="49">
        <f t="shared" ca="1" si="134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135"/>
        <v>0</v>
      </c>
      <c r="U538" s="49">
        <f t="shared" ca="1" si="136"/>
        <v>0</v>
      </c>
    </row>
    <row r="539" spans="1:21" ht="18.75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133"/>
        <v>0</v>
      </c>
      <c r="P539" s="47">
        <f t="shared" ca="1" si="134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135"/>
        <v>0</v>
      </c>
      <c r="U539" s="47">
        <f t="shared" ca="1" si="136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ca="1">L541+L542</f>
        <v>0</v>
      </c>
      <c r="M540" s="47">
        <f ca="1">M541+M542</f>
        <v>0</v>
      </c>
      <c r="N540" s="47">
        <f ca="1">N541+N542</f>
        <v>0</v>
      </c>
      <c r="O540" s="47">
        <f t="shared" ca="1" si="133"/>
        <v>0</v>
      </c>
      <c r="P540" s="47">
        <f t="shared" ca="1" si="134"/>
        <v>0</v>
      </c>
      <c r="Q540" s="47">
        <f ca="1">Q541+Q542</f>
        <v>0</v>
      </c>
      <c r="R540" s="47">
        <f ca="1">R541+R542</f>
        <v>0</v>
      </c>
      <c r="S540" s="47">
        <f ca="1">S541+S542</f>
        <v>0</v>
      </c>
      <c r="T540" s="47">
        <f t="shared" ca="1" si="135"/>
        <v>0</v>
      </c>
      <c r="U540" s="47">
        <f t="shared" ca="1" si="136"/>
        <v>0</v>
      </c>
    </row>
    <row r="541" spans="1:21" ht="18.75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133"/>
        <v>0</v>
      </c>
      <c r="P541" s="49">
        <f t="shared" ca="1" si="134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135"/>
        <v>0</v>
      </c>
      <c r="U541" s="49">
        <f t="shared" ca="1" si="136"/>
        <v>0</v>
      </c>
    </row>
    <row r="542" spans="1:21" ht="18.75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133"/>
        <v>0</v>
      </c>
      <c r="P542" s="47">
        <f t="shared" ca="1" si="134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135"/>
        <v>0</v>
      </c>
      <c r="U542" s="47">
        <f t="shared" ca="1" si="136"/>
        <v>0</v>
      </c>
    </row>
    <row r="543" spans="1:21" ht="19.5" x14ac:dyDescent="0.3">
      <c r="A543" s="138"/>
      <c r="B543" s="139"/>
      <c r="C543" s="377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247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376">
        <f>I566</f>
        <v>0</v>
      </c>
      <c r="J554" s="376">
        <f>J566</f>
        <v>0</v>
      </c>
      <c r="K554" s="368">
        <f>IF(I554&gt;0,J554*100/I554,0)</f>
        <v>0</v>
      </c>
      <c r="L554" s="369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ca="1">L556+L557</f>
        <v>0</v>
      </c>
      <c r="M555" s="132">
        <f ca="1">M556+M557</f>
        <v>0</v>
      </c>
      <c r="N555" s="132">
        <f ca="1">N556+N557</f>
        <v>0</v>
      </c>
      <c r="O555" s="132">
        <f t="shared" ref="O555:O563" ca="1" si="139">IF(L555&gt;0,N555*100/L555,0)</f>
        <v>0</v>
      </c>
      <c r="P555" s="132">
        <f t="shared" ref="P555:P563" ca="1" si="140">IF(M555&gt;0,N555*100/M555,0)</f>
        <v>0</v>
      </c>
      <c r="Q555" s="132">
        <f ca="1">Q556+Q557</f>
        <v>0</v>
      </c>
      <c r="R555" s="132">
        <f ca="1">R556+R557</f>
        <v>0</v>
      </c>
      <c r="S555" s="132">
        <f ca="1">S556+S557</f>
        <v>0</v>
      </c>
      <c r="T555" s="132">
        <f t="shared" ref="T555:T563" ca="1" si="141">IF(Q555&gt;0,S555*100/Q555,0)</f>
        <v>0</v>
      </c>
      <c r="U555" s="132">
        <f t="shared" ref="U555:U563" ca="1" si="142">IF(R555&gt;0,S555*100/R555,0)</f>
        <v>0</v>
      </c>
    </row>
    <row r="556" spans="1:21" ht="18.75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7" ca="1" si="143">L559+L562</f>
        <v>0</v>
      </c>
      <c r="M556" s="49">
        <f t="shared" ca="1" si="143"/>
        <v>0</v>
      </c>
      <c r="N556" s="49">
        <f t="shared" ca="1" si="143"/>
        <v>0</v>
      </c>
      <c r="O556" s="49">
        <f t="shared" ca="1" si="139"/>
        <v>0</v>
      </c>
      <c r="P556" s="49">
        <f t="shared" ca="1" si="140"/>
        <v>0</v>
      </c>
      <c r="Q556" s="49">
        <f t="shared" ref="Q556:S557" ca="1" si="144">Q559+Q562</f>
        <v>0</v>
      </c>
      <c r="R556" s="49">
        <f t="shared" ca="1" si="144"/>
        <v>0</v>
      </c>
      <c r="S556" s="49">
        <f t="shared" ca="1" si="144"/>
        <v>0</v>
      </c>
      <c r="T556" s="49">
        <f t="shared" ca="1" si="141"/>
        <v>0</v>
      </c>
      <c r="U556" s="49">
        <f t="shared" ca="1" si="142"/>
        <v>0</v>
      </c>
    </row>
    <row r="557" spans="1:21" ht="18.75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ca="1" si="143"/>
        <v>0</v>
      </c>
      <c r="M557" s="47">
        <f t="shared" ca="1" si="143"/>
        <v>0</v>
      </c>
      <c r="N557" s="47">
        <f t="shared" ca="1" si="143"/>
        <v>0</v>
      </c>
      <c r="O557" s="47">
        <f t="shared" ca="1" si="139"/>
        <v>0</v>
      </c>
      <c r="P557" s="47">
        <f t="shared" ca="1" si="140"/>
        <v>0</v>
      </c>
      <c r="Q557" s="47">
        <f t="shared" ca="1" si="144"/>
        <v>0</v>
      </c>
      <c r="R557" s="47">
        <f t="shared" ca="1" si="144"/>
        <v>0</v>
      </c>
      <c r="S557" s="47">
        <f t="shared" ca="1" si="144"/>
        <v>0</v>
      </c>
      <c r="T557" s="47">
        <f t="shared" ca="1" si="141"/>
        <v>0</v>
      </c>
      <c r="U557" s="47">
        <f t="shared" ca="1" si="142"/>
        <v>0</v>
      </c>
    </row>
    <row r="558" spans="1:21" ht="18.75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ca="1">L559+L560</f>
        <v>0</v>
      </c>
      <c r="M558" s="47">
        <f ca="1">M559+M560</f>
        <v>0</v>
      </c>
      <c r="N558" s="47">
        <f ca="1">N559+N560</f>
        <v>0</v>
      </c>
      <c r="O558" s="47">
        <f t="shared" ca="1" si="139"/>
        <v>0</v>
      </c>
      <c r="P558" s="47">
        <f t="shared" ca="1" si="140"/>
        <v>0</v>
      </c>
      <c r="Q558" s="47">
        <f ca="1">Q559+Q560</f>
        <v>0</v>
      </c>
      <c r="R558" s="47">
        <f ca="1">R559+R560</f>
        <v>0</v>
      </c>
      <c r="S558" s="47">
        <f ca="1">S559+S560</f>
        <v>0</v>
      </c>
      <c r="T558" s="47">
        <f t="shared" ca="1" si="141"/>
        <v>0</v>
      </c>
      <c r="U558" s="47">
        <f t="shared" ca="1" si="142"/>
        <v>0</v>
      </c>
    </row>
    <row r="559" spans="1:21" ht="18.75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139"/>
        <v>0</v>
      </c>
      <c r="P559" s="49">
        <f t="shared" ca="1" si="140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141"/>
        <v>0</v>
      </c>
      <c r="U559" s="49">
        <f t="shared" ca="1" si="142"/>
        <v>0</v>
      </c>
    </row>
    <row r="560" spans="1:21" ht="18.75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139"/>
        <v>0</v>
      </c>
      <c r="P560" s="47">
        <f t="shared" ca="1" si="140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141"/>
        <v>0</v>
      </c>
      <c r="U560" s="47">
        <f t="shared" ca="1" si="142"/>
        <v>0</v>
      </c>
    </row>
    <row r="561" spans="1:21" ht="18.75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ca="1">L562+L563</f>
        <v>0</v>
      </c>
      <c r="M561" s="47">
        <f ca="1">M562+M563</f>
        <v>0</v>
      </c>
      <c r="N561" s="47">
        <f ca="1">N562+N563</f>
        <v>0</v>
      </c>
      <c r="O561" s="47">
        <f t="shared" ca="1" si="139"/>
        <v>0</v>
      </c>
      <c r="P561" s="47">
        <f t="shared" ca="1" si="140"/>
        <v>0</v>
      </c>
      <c r="Q561" s="47">
        <f ca="1">Q562+Q563</f>
        <v>0</v>
      </c>
      <c r="R561" s="47">
        <f ca="1">R562+R563</f>
        <v>0</v>
      </c>
      <c r="S561" s="47">
        <f ca="1">S562+S563</f>
        <v>0</v>
      </c>
      <c r="T561" s="47">
        <f t="shared" ca="1" si="141"/>
        <v>0</v>
      </c>
      <c r="U561" s="47">
        <f t="shared" ca="1" si="142"/>
        <v>0</v>
      </c>
    </row>
    <row r="562" spans="1:21" ht="18.75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139"/>
        <v>0</v>
      </c>
      <c r="P562" s="49">
        <f t="shared" ca="1" si="140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141"/>
        <v>0</v>
      </c>
      <c r="U562" s="49">
        <f t="shared" ca="1" si="142"/>
        <v>0</v>
      </c>
    </row>
    <row r="563" spans="1:21" ht="18.75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139"/>
        <v>0</v>
      </c>
      <c r="P563" s="47">
        <f t="shared" ca="1" si="140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141"/>
        <v>0</v>
      </c>
      <c r="U563" s="47">
        <f t="shared" ca="1" si="142"/>
        <v>0</v>
      </c>
    </row>
    <row r="564" spans="1:21" ht="19.5" x14ac:dyDescent="0.3">
      <c r="A564" s="138"/>
      <c r="B564" s="139"/>
      <c r="C564" s="377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376">
        <f>I587</f>
        <v>0</v>
      </c>
      <c r="J575" s="376">
        <f>J587</f>
        <v>0</v>
      </c>
      <c r="K575" s="368">
        <f>IF(I575&gt;0,J575*100/I575,0)</f>
        <v>0</v>
      </c>
      <c r="L575" s="369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ca="1">L577+L578</f>
        <v>0</v>
      </c>
      <c r="M576" s="132">
        <f ca="1">M577+M578</f>
        <v>0</v>
      </c>
      <c r="N576" s="132">
        <f ca="1">N577+N578</f>
        <v>0</v>
      </c>
      <c r="O576" s="132">
        <f t="shared" ref="O576:O584" ca="1" si="145">IF(L576&gt;0,N576*100/L576,0)</f>
        <v>0</v>
      </c>
      <c r="P576" s="132">
        <f t="shared" ref="P576:P584" ca="1" si="146">IF(M576&gt;0,N576*100/M576,0)</f>
        <v>0</v>
      </c>
      <c r="Q576" s="132">
        <f ca="1">Q577+Q578</f>
        <v>0</v>
      </c>
      <c r="R576" s="132">
        <f ca="1">R577+R578</f>
        <v>0</v>
      </c>
      <c r="S576" s="132">
        <f ca="1">S577+S578</f>
        <v>0</v>
      </c>
      <c r="T576" s="132">
        <f t="shared" ref="T576:T584" ca="1" si="147">IF(Q576&gt;0,S576*100/Q576,0)</f>
        <v>0</v>
      </c>
      <c r="U576" s="132">
        <f t="shared" ref="U576:U584" ca="1" si="148">IF(R576&gt;0,S576*100/R576,0)</f>
        <v>0</v>
      </c>
    </row>
    <row r="577" spans="1:21" ht="18.75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8" ca="1" si="149">L580+L583</f>
        <v>0</v>
      </c>
      <c r="M577" s="49">
        <f t="shared" ca="1" si="149"/>
        <v>0</v>
      </c>
      <c r="N577" s="49">
        <f t="shared" ca="1" si="149"/>
        <v>0</v>
      </c>
      <c r="O577" s="49">
        <f t="shared" ca="1" si="145"/>
        <v>0</v>
      </c>
      <c r="P577" s="49">
        <f t="shared" ca="1" si="146"/>
        <v>0</v>
      </c>
      <c r="Q577" s="49">
        <f t="shared" ref="Q577:S578" ca="1" si="150">Q580+Q583</f>
        <v>0</v>
      </c>
      <c r="R577" s="49">
        <f t="shared" ca="1" si="150"/>
        <v>0</v>
      </c>
      <c r="S577" s="49">
        <f t="shared" ca="1" si="150"/>
        <v>0</v>
      </c>
      <c r="T577" s="49">
        <f t="shared" ca="1" si="147"/>
        <v>0</v>
      </c>
      <c r="U577" s="49">
        <f t="shared" ca="1" si="148"/>
        <v>0</v>
      </c>
    </row>
    <row r="578" spans="1:21" ht="18.75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ca="1" si="149"/>
        <v>0</v>
      </c>
      <c r="M578" s="47">
        <f t="shared" ca="1" si="149"/>
        <v>0</v>
      </c>
      <c r="N578" s="47">
        <f t="shared" ca="1" si="149"/>
        <v>0</v>
      </c>
      <c r="O578" s="47">
        <f t="shared" ca="1" si="145"/>
        <v>0</v>
      </c>
      <c r="P578" s="47">
        <f t="shared" ca="1" si="146"/>
        <v>0</v>
      </c>
      <c r="Q578" s="47">
        <f t="shared" ca="1" si="150"/>
        <v>0</v>
      </c>
      <c r="R578" s="47">
        <f t="shared" ca="1" si="150"/>
        <v>0</v>
      </c>
      <c r="S578" s="47">
        <f t="shared" ca="1" si="150"/>
        <v>0</v>
      </c>
      <c r="T578" s="47">
        <f t="shared" ca="1" si="147"/>
        <v>0</v>
      </c>
      <c r="U578" s="47">
        <f t="shared" ca="1" si="148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ca="1">L580+L581</f>
        <v>0</v>
      </c>
      <c r="M579" s="47">
        <f ca="1">M580+M581</f>
        <v>0</v>
      </c>
      <c r="N579" s="47">
        <f ca="1">N580+N581</f>
        <v>0</v>
      </c>
      <c r="O579" s="47">
        <f t="shared" ca="1" si="145"/>
        <v>0</v>
      </c>
      <c r="P579" s="47">
        <f t="shared" ca="1" si="146"/>
        <v>0</v>
      </c>
      <c r="Q579" s="47">
        <f ca="1">Q580+Q581</f>
        <v>0</v>
      </c>
      <c r="R579" s="47">
        <f ca="1">R580+R581</f>
        <v>0</v>
      </c>
      <c r="S579" s="47">
        <f ca="1">S580+S581</f>
        <v>0</v>
      </c>
      <c r="T579" s="47">
        <f t="shared" ca="1" si="147"/>
        <v>0</v>
      </c>
      <c r="U579" s="47">
        <f t="shared" ca="1" si="148"/>
        <v>0</v>
      </c>
    </row>
    <row r="580" spans="1:21" ht="18.75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145"/>
        <v>0</v>
      </c>
      <c r="P580" s="49">
        <f t="shared" ca="1" si="146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147"/>
        <v>0</v>
      </c>
      <c r="U580" s="49">
        <f t="shared" ca="1" si="148"/>
        <v>0</v>
      </c>
    </row>
    <row r="581" spans="1:21" ht="18.75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0)</f>
        <v>0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0)</f>
        <v>0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0)</f>
        <v>0</v>
      </c>
      <c r="O581" s="47">
        <f t="shared" ca="1" si="145"/>
        <v>0</v>
      </c>
      <c r="P581" s="47">
        <f t="shared" ca="1" si="146"/>
        <v>0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147"/>
        <v>0</v>
      </c>
      <c r="U581" s="47">
        <f t="shared" ca="1" si="148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ca="1">L583+L584</f>
        <v>0</v>
      </c>
      <c r="M582" s="47">
        <f ca="1">M583+M584</f>
        <v>0</v>
      </c>
      <c r="N582" s="47">
        <f ca="1">N583+N584</f>
        <v>0</v>
      </c>
      <c r="O582" s="47">
        <f t="shared" ca="1" si="145"/>
        <v>0</v>
      </c>
      <c r="P582" s="47">
        <f t="shared" ca="1" si="146"/>
        <v>0</v>
      </c>
      <c r="Q582" s="47">
        <f ca="1">Q583+Q584</f>
        <v>0</v>
      </c>
      <c r="R582" s="47">
        <f ca="1">R583+R584</f>
        <v>0</v>
      </c>
      <c r="S582" s="47">
        <f ca="1">S583+S584</f>
        <v>0</v>
      </c>
      <c r="T582" s="47">
        <f t="shared" ca="1" si="147"/>
        <v>0</v>
      </c>
      <c r="U582" s="47">
        <f t="shared" ca="1" si="148"/>
        <v>0</v>
      </c>
    </row>
    <row r="583" spans="1:21" ht="18.75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145"/>
        <v>0</v>
      </c>
      <c r="P583" s="49">
        <f t="shared" ca="1" si="146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147"/>
        <v>0</v>
      </c>
      <c r="U583" s="49">
        <f t="shared" ca="1" si="148"/>
        <v>0</v>
      </c>
    </row>
    <row r="584" spans="1:21" ht="18.75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145"/>
        <v>0</v>
      </c>
      <c r="P584" s="47">
        <f t="shared" ca="1" si="146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147"/>
        <v>0</v>
      </c>
      <c r="U584" s="47">
        <f t="shared" ca="1" si="148"/>
        <v>0</v>
      </c>
    </row>
    <row r="585" spans="1:21" ht="19.5" x14ac:dyDescent="0.3">
      <c r="A585" s="138"/>
      <c r="B585" s="139"/>
      <c r="C585" s="377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247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247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x14ac:dyDescent="0.3">
      <c r="A599" s="128"/>
      <c r="B599" s="159"/>
      <c r="C599" s="188" t="s">
        <v>18</v>
      </c>
      <c r="D599" s="770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132">
        <f ca="1">L600+L601</f>
        <v>0</v>
      </c>
      <c r="M599" s="132">
        <f ca="1">M600+M601</f>
        <v>0</v>
      </c>
      <c r="N599" s="132">
        <f ca="1">N600+N601</f>
        <v>0</v>
      </c>
      <c r="O599" s="132">
        <f t="shared" ref="O599:O607" ca="1" si="151">IF(L599&gt;0,N599*100/L599,0)</f>
        <v>0</v>
      </c>
      <c r="P599" s="132">
        <f t="shared" ref="P599:P607" ca="1" si="152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t="shared" ref="T599:T607" ca="1" si="153">IF(Q599&gt;0,S599*100/Q599,0)</f>
        <v>0</v>
      </c>
      <c r="U599" s="132">
        <f t="shared" ref="U599:U607" ca="1" si="154">IF(R599&gt;0,S599*100/R599,0)</f>
        <v>0</v>
      </c>
    </row>
    <row r="600" spans="1:21" ht="18.75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9">
        <f t="shared" ref="L600:N601" ca="1" si="155">L603+L606</f>
        <v>0</v>
      </c>
      <c r="M600" s="49">
        <f t="shared" ca="1" si="155"/>
        <v>0</v>
      </c>
      <c r="N600" s="49">
        <f t="shared" ca="1" si="155"/>
        <v>0</v>
      </c>
      <c r="O600" s="49">
        <f t="shared" ca="1" si="151"/>
        <v>0</v>
      </c>
      <c r="P600" s="49">
        <f t="shared" ca="1" si="152"/>
        <v>0</v>
      </c>
      <c r="Q600" s="49">
        <f t="shared" ref="Q600:S601" ca="1" si="156">Q603+Q606</f>
        <v>0</v>
      </c>
      <c r="R600" s="49">
        <f t="shared" ca="1" si="156"/>
        <v>0</v>
      </c>
      <c r="S600" s="49">
        <f t="shared" ca="1" si="156"/>
        <v>0</v>
      </c>
      <c r="T600" s="49">
        <f t="shared" ca="1" si="153"/>
        <v>0</v>
      </c>
      <c r="U600" s="49">
        <f t="shared" ca="1" si="154"/>
        <v>0</v>
      </c>
    </row>
    <row r="601" spans="1:21" ht="18.75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7">
        <f t="shared" ca="1" si="155"/>
        <v>0</v>
      </c>
      <c r="M601" s="47">
        <f t="shared" ca="1" si="155"/>
        <v>0</v>
      </c>
      <c r="N601" s="47">
        <f t="shared" ca="1" si="155"/>
        <v>0</v>
      </c>
      <c r="O601" s="47">
        <f t="shared" ca="1" si="151"/>
        <v>0</v>
      </c>
      <c r="P601" s="47">
        <f t="shared" ca="1" si="152"/>
        <v>0</v>
      </c>
      <c r="Q601" s="47">
        <f t="shared" ca="1" si="156"/>
        <v>0</v>
      </c>
      <c r="R601" s="47">
        <f t="shared" ca="1" si="156"/>
        <v>0</v>
      </c>
      <c r="S601" s="47">
        <f t="shared" ca="1" si="156"/>
        <v>0</v>
      </c>
      <c r="T601" s="47">
        <f t="shared" ca="1" si="153"/>
        <v>0</v>
      </c>
      <c r="U601" s="47">
        <f t="shared" ca="1" si="154"/>
        <v>0</v>
      </c>
    </row>
    <row r="602" spans="1:21" ht="19.5" x14ac:dyDescent="0.3">
      <c r="A602" s="128"/>
      <c r="B602" s="159"/>
      <c r="C602" s="159"/>
      <c r="D602" s="385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7">
        <f ca="1">L603+L604</f>
        <v>0</v>
      </c>
      <c r="M602" s="47">
        <f ca="1">M603+M604</f>
        <v>0</v>
      </c>
      <c r="N602" s="47">
        <f ca="1">N603+N604</f>
        <v>0</v>
      </c>
      <c r="O602" s="47">
        <f t="shared" ca="1" si="151"/>
        <v>0</v>
      </c>
      <c r="P602" s="47">
        <f t="shared" ca="1" si="152"/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t="shared" ca="1" si="153"/>
        <v>0</v>
      </c>
      <c r="U602" s="47">
        <f t="shared" ca="1" si="154"/>
        <v>0</v>
      </c>
    </row>
    <row r="603" spans="1:21" ht="18.75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9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49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49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49">
        <f t="shared" ca="1" si="151"/>
        <v>0</v>
      </c>
      <c r="P603" s="49">
        <f t="shared" ca="1" si="152"/>
        <v>0</v>
      </c>
      <c r="Q603" s="49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49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49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49">
        <f t="shared" ca="1" si="153"/>
        <v>0</v>
      </c>
      <c r="U603" s="49">
        <f t="shared" ca="1" si="154"/>
        <v>0</v>
      </c>
    </row>
    <row r="604" spans="1:21" ht="18.75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7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0)</f>
        <v>0</v>
      </c>
      <c r="M604" s="47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0)</f>
        <v>0</v>
      </c>
      <c r="N604" s="47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0)</f>
        <v>0</v>
      </c>
      <c r="O604" s="47">
        <f t="shared" ca="1" si="151"/>
        <v>0</v>
      </c>
      <c r="P604" s="47">
        <f t="shared" ca="1" si="152"/>
        <v>0</v>
      </c>
      <c r="Q604" s="47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47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47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47">
        <f t="shared" ca="1" si="153"/>
        <v>0</v>
      </c>
      <c r="U604" s="47">
        <f t="shared" ca="1" si="154"/>
        <v>0</v>
      </c>
    </row>
    <row r="605" spans="1:21" ht="19.5" x14ac:dyDescent="0.3">
      <c r="A605" s="128"/>
      <c r="B605" s="159"/>
      <c r="C605" s="159"/>
      <c r="D605" s="385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7">
        <f ca="1">L606+L607</f>
        <v>0</v>
      </c>
      <c r="M605" s="47">
        <f ca="1">M606+M607</f>
        <v>0</v>
      </c>
      <c r="N605" s="47">
        <f ca="1">N606+N607</f>
        <v>0</v>
      </c>
      <c r="O605" s="47">
        <f t="shared" ca="1" si="151"/>
        <v>0</v>
      </c>
      <c r="P605" s="47">
        <f t="shared" ca="1" si="152"/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t="shared" ca="1" si="153"/>
        <v>0</v>
      </c>
      <c r="U605" s="47">
        <f t="shared" ca="1" si="154"/>
        <v>0</v>
      </c>
    </row>
    <row r="606" spans="1:21" ht="18.75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9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49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49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49">
        <f t="shared" ca="1" si="151"/>
        <v>0</v>
      </c>
      <c r="P606" s="49">
        <f t="shared" ca="1" si="152"/>
        <v>0</v>
      </c>
      <c r="Q606" s="49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49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49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49">
        <f t="shared" ca="1" si="153"/>
        <v>0</v>
      </c>
      <c r="U606" s="49">
        <f t="shared" ca="1" si="154"/>
        <v>0</v>
      </c>
    </row>
    <row r="607" spans="1:21" ht="18.75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7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47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47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47">
        <f t="shared" ca="1" si="151"/>
        <v>0</v>
      </c>
      <c r="P607" s="47">
        <f t="shared" ca="1" si="152"/>
        <v>0</v>
      </c>
      <c r="Q607" s="47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47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47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47">
        <f t="shared" ca="1" si="153"/>
        <v>0</v>
      </c>
      <c r="U607" s="47">
        <f t="shared" ca="1" si="154"/>
        <v>0</v>
      </c>
    </row>
    <row r="608" spans="1:21" ht="19.5" x14ac:dyDescent="0.3">
      <c r="A608" s="138"/>
      <c r="B608" s="139"/>
      <c r="C608" s="188" t="s">
        <v>18</v>
      </c>
      <c r="D608" s="388" t="s">
        <v>38</v>
      </c>
      <c r="E608" s="141"/>
      <c r="F608" s="141"/>
      <c r="G608" s="142"/>
      <c r="H608" s="189"/>
      <c r="I608" s="135"/>
      <c r="J608" s="135"/>
      <c r="K608" s="136"/>
      <c r="L608" s="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8.75" x14ac:dyDescent="0.25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05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12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550</v>
      </c>
      <c r="J615" s="418">
        <f ca="1">J626</f>
        <v>0</v>
      </c>
      <c r="K615" s="419">
        <f ca="1">IF(I615&gt;0,J615*100/I615,0)</f>
        <v>0</v>
      </c>
      <c r="L615" s="420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73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132">
        <f ca="1">L617+L618</f>
        <v>0</v>
      </c>
      <c r="M616" s="132">
        <f ca="1">M617+M618</f>
        <v>0</v>
      </c>
      <c r="N616" s="132">
        <f ca="1">N617+N618</f>
        <v>0</v>
      </c>
      <c r="O616" s="132">
        <f t="shared" ref="O616:O624" ca="1" si="157">IF(L616&gt;0,N616*100/L616,0)</f>
        <v>0</v>
      </c>
      <c r="P616" s="132">
        <f t="shared" ref="P616:P624" ca="1" si="158">IF(M616&gt;0,N616*100/M616,0)</f>
        <v>0</v>
      </c>
      <c r="Q616" s="132">
        <f ca="1">Q617+Q618</f>
        <v>83175</v>
      </c>
      <c r="R616" s="132">
        <f ca="1">R617+R618</f>
        <v>83175</v>
      </c>
      <c r="S616" s="132">
        <f ca="1">S617+S618</f>
        <v>14580</v>
      </c>
      <c r="T616" s="132">
        <f t="shared" ref="T616:T624" ca="1" si="159">IF(Q616&gt;0,S616*100/Q616,0)</f>
        <v>17.529305680793506</v>
      </c>
      <c r="U616" s="132">
        <f t="shared" ref="U616:U624" ca="1" si="160">IF(R616&gt;0,S616*100/R616,0)</f>
        <v>17.529305680793506</v>
      </c>
    </row>
    <row r="617" spans="1:21" ht="18.75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8" ca="1" si="161">L620+L623</f>
        <v>0</v>
      </c>
      <c r="M617" s="49">
        <f t="shared" ca="1" si="161"/>
        <v>0</v>
      </c>
      <c r="N617" s="49">
        <f t="shared" ca="1" si="161"/>
        <v>0</v>
      </c>
      <c r="O617" s="49">
        <f t="shared" ca="1" si="157"/>
        <v>0</v>
      </c>
      <c r="P617" s="49">
        <f t="shared" ca="1" si="158"/>
        <v>0</v>
      </c>
      <c r="Q617" s="49">
        <f t="shared" ref="Q617:S618" ca="1" si="162">Q620+Q623</f>
        <v>0</v>
      </c>
      <c r="R617" s="49">
        <f t="shared" ca="1" si="162"/>
        <v>0</v>
      </c>
      <c r="S617" s="49">
        <f t="shared" ca="1" si="162"/>
        <v>0</v>
      </c>
      <c r="T617" s="49">
        <f t="shared" ca="1" si="159"/>
        <v>0</v>
      </c>
      <c r="U617" s="49">
        <f t="shared" ca="1" si="160"/>
        <v>0</v>
      </c>
    </row>
    <row r="618" spans="1:21" ht="18.75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ca="1" si="161"/>
        <v>0</v>
      </c>
      <c r="M618" s="47">
        <f t="shared" ca="1" si="161"/>
        <v>0</v>
      </c>
      <c r="N618" s="47">
        <f t="shared" ca="1" si="161"/>
        <v>0</v>
      </c>
      <c r="O618" s="47">
        <f t="shared" ca="1" si="157"/>
        <v>0</v>
      </c>
      <c r="P618" s="47">
        <f t="shared" ca="1" si="158"/>
        <v>0</v>
      </c>
      <c r="Q618" s="47">
        <f t="shared" ca="1" si="162"/>
        <v>83175</v>
      </c>
      <c r="R618" s="47">
        <f t="shared" ca="1" si="162"/>
        <v>83175</v>
      </c>
      <c r="S618" s="47">
        <f t="shared" ca="1" si="162"/>
        <v>14580</v>
      </c>
      <c r="T618" s="47">
        <f t="shared" ca="1" si="159"/>
        <v>17.529305680793506</v>
      </c>
      <c r="U618" s="47">
        <f t="shared" ca="1" si="160"/>
        <v>17.529305680793506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ca="1">L620+L621</f>
        <v>0</v>
      </c>
      <c r="M619" s="47">
        <f ca="1">M620+M621</f>
        <v>0</v>
      </c>
      <c r="N619" s="47">
        <f ca="1">N620+N621</f>
        <v>0</v>
      </c>
      <c r="O619" s="47">
        <f t="shared" ca="1" si="157"/>
        <v>0</v>
      </c>
      <c r="P619" s="47">
        <f t="shared" ca="1" si="158"/>
        <v>0</v>
      </c>
      <c r="Q619" s="47">
        <f ca="1">Q620+Q621</f>
        <v>83175</v>
      </c>
      <c r="R619" s="47">
        <f ca="1">R620+R621</f>
        <v>83175</v>
      </c>
      <c r="S619" s="47">
        <f ca="1">S620+S621</f>
        <v>14580</v>
      </c>
      <c r="T619" s="47">
        <f t="shared" ca="1" si="159"/>
        <v>17.529305680793506</v>
      </c>
      <c r="U619" s="47">
        <f t="shared" ca="1" si="160"/>
        <v>17.529305680793506</v>
      </c>
    </row>
    <row r="620" spans="1:21" ht="18.75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157"/>
        <v>0</v>
      </c>
      <c r="P620" s="49">
        <f t="shared" ca="1" si="158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159"/>
        <v>0</v>
      </c>
      <c r="U620" s="49">
        <f t="shared" ca="1" si="160"/>
        <v>0</v>
      </c>
    </row>
    <row r="621" spans="1:21" ht="18.75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157"/>
        <v>0</v>
      </c>
      <c r="P621" s="47">
        <f t="shared" ca="1" si="158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14580)</f>
        <v>14580</v>
      </c>
      <c r="T621" s="47">
        <f t="shared" ca="1" si="159"/>
        <v>17.529305680793506</v>
      </c>
      <c r="U621" s="47">
        <f t="shared" ca="1" si="160"/>
        <v>17.529305680793506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ca="1">L623+L624</f>
        <v>0</v>
      </c>
      <c r="M622" s="47">
        <f ca="1">M623+M624</f>
        <v>0</v>
      </c>
      <c r="N622" s="47">
        <f ca="1">N623+N624</f>
        <v>0</v>
      </c>
      <c r="O622" s="47">
        <f t="shared" ca="1" si="157"/>
        <v>0</v>
      </c>
      <c r="P622" s="47">
        <f t="shared" ca="1" si="158"/>
        <v>0</v>
      </c>
      <c r="Q622" s="47">
        <f ca="1">Q623+Q624</f>
        <v>0</v>
      </c>
      <c r="R622" s="47">
        <f ca="1">R623+R624</f>
        <v>0</v>
      </c>
      <c r="S622" s="47">
        <f ca="1">S623+S624</f>
        <v>0</v>
      </c>
      <c r="T622" s="47">
        <f t="shared" ca="1" si="159"/>
        <v>0</v>
      </c>
      <c r="U622" s="47">
        <f t="shared" ca="1" si="160"/>
        <v>0</v>
      </c>
    </row>
    <row r="623" spans="1:21" ht="18.75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157"/>
        <v>0</v>
      </c>
      <c r="P623" s="49">
        <f t="shared" ca="1" si="158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159"/>
        <v>0</v>
      </c>
      <c r="U623" s="49">
        <f t="shared" ca="1" si="160"/>
        <v>0</v>
      </c>
    </row>
    <row r="624" spans="1:21" ht="18.75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157"/>
        <v>0</v>
      </c>
      <c r="P624" s="47">
        <f t="shared" ca="1" si="158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159"/>
        <v>0</v>
      </c>
      <c r="U624" s="47">
        <f t="shared" ca="1" si="160"/>
        <v>0</v>
      </c>
    </row>
    <row r="625" spans="1:21" ht="19.5" x14ac:dyDescent="0.3">
      <c r="A625" s="138"/>
      <c r="B625" s="139"/>
      <c r="C625" s="188" t="s">
        <v>18</v>
      </c>
      <c r="D625" s="421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11)</f>
        <v>11</v>
      </c>
      <c r="K627" s="47">
        <f ca="1">IF(I627&gt;0,(J627*100)/I627,0)</f>
        <v>122.22222222222223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11)</f>
        <v>11</v>
      </c>
      <c r="K628" s="47">
        <f ca="1">IF(I628&gt;0,(J628*100)/I628,0)</f>
        <v>122.22222222222223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ca="1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ca="1">IF(I$626&gt;0,J630*100/I$626,0)</f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ca="1">IF(I$626&gt;0,J631*100/I$626,0)</f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20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x14ac:dyDescent="0.3">
      <c r="A642" s="128"/>
      <c r="B642" s="159"/>
      <c r="C642" s="218" t="s">
        <v>18</v>
      </c>
      <c r="D642" s="773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132">
        <f ca="1">L643+L644</f>
        <v>0</v>
      </c>
      <c r="M642" s="132">
        <f ca="1">M643+M644</f>
        <v>0</v>
      </c>
      <c r="N642" s="132">
        <f ca="1">N643+N644</f>
        <v>0</v>
      </c>
      <c r="O642" s="132">
        <f t="shared" ref="O642:O650" ca="1" si="163">IF(L642&gt;0,N642*100/L642,0)</f>
        <v>0</v>
      </c>
      <c r="P642" s="132">
        <f t="shared" ref="P642:P650" ca="1" si="164"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4" ca="1" si="167">L646+L649</f>
        <v>0</v>
      </c>
      <c r="M643" s="49">
        <f t="shared" ca="1" si="167"/>
        <v>0</v>
      </c>
      <c r="N643" s="49">
        <f t="shared" ca="1" si="167"/>
        <v>0</v>
      </c>
      <c r="O643" s="49">
        <f t="shared" ca="1" si="163"/>
        <v>0</v>
      </c>
      <c r="P643" s="49">
        <f t="shared" ca="1" si="164"/>
        <v>0</v>
      </c>
      <c r="Q643" s="49">
        <f t="shared" ref="Q643:S644" ca="1" si="168">Q646+Q649</f>
        <v>0</v>
      </c>
      <c r="R643" s="49">
        <f t="shared" ca="1" si="168"/>
        <v>0</v>
      </c>
      <c r="S643" s="49">
        <f t="shared" ca="1" si="168"/>
        <v>0</v>
      </c>
      <c r="T643" s="49">
        <f t="shared" ca="1" si="165"/>
        <v>0</v>
      </c>
      <c r="U643" s="49">
        <f t="shared" ca="1" si="166"/>
        <v>0</v>
      </c>
    </row>
    <row r="644" spans="1:21" ht="18.75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ca="1" si="167"/>
        <v>0</v>
      </c>
      <c r="M644" s="47">
        <f t="shared" ca="1" si="167"/>
        <v>0</v>
      </c>
      <c r="N644" s="47">
        <f t="shared" ca="1" si="167"/>
        <v>0</v>
      </c>
      <c r="O644" s="47">
        <f t="shared" ca="1" si="163"/>
        <v>0</v>
      </c>
      <c r="P644" s="47">
        <f t="shared" ca="1" si="164"/>
        <v>0</v>
      </c>
      <c r="Q644" s="47">
        <f t="shared" ca="1" si="168"/>
        <v>8200</v>
      </c>
      <c r="R644" s="47">
        <f t="shared" ca="1" si="168"/>
        <v>8200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ca="1">L646+L647</f>
        <v>0</v>
      </c>
      <c r="M645" s="47">
        <f ca="1">M646+M647</f>
        <v>0</v>
      </c>
      <c r="N645" s="47">
        <f ca="1">N646+N647</f>
        <v>0</v>
      </c>
      <c r="O645" s="47">
        <f t="shared" ca="1" si="163"/>
        <v>0</v>
      </c>
      <c r="P645" s="47">
        <f t="shared" ca="1" si="164"/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163"/>
        <v>0</v>
      </c>
      <c r="P646" s="49">
        <f t="shared" ca="1" si="164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165"/>
        <v>0</v>
      </c>
      <c r="U646" s="49">
        <f t="shared" ca="1" si="166"/>
        <v>0</v>
      </c>
    </row>
    <row r="647" spans="1:21" ht="18.75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163"/>
        <v>0</v>
      </c>
      <c r="P647" s="47">
        <f t="shared" ca="1" si="164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ca="1">L649+L650</f>
        <v>0</v>
      </c>
      <c r="M648" s="47">
        <f ca="1">M649+M650</f>
        <v>0</v>
      </c>
      <c r="N648" s="47">
        <f ca="1">N649+N650</f>
        <v>0</v>
      </c>
      <c r="O648" s="47">
        <f t="shared" ca="1" si="163"/>
        <v>0</v>
      </c>
      <c r="P648" s="47">
        <f t="shared" ca="1" si="164"/>
        <v>0</v>
      </c>
      <c r="Q648" s="47">
        <f ca="1">Q649+Q650</f>
        <v>0</v>
      </c>
      <c r="R648" s="47">
        <f ca="1">R649+R650</f>
        <v>0</v>
      </c>
      <c r="S648" s="47">
        <f ca="1">S649+S650</f>
        <v>0</v>
      </c>
      <c r="T648" s="47">
        <f t="shared" ca="1" si="165"/>
        <v>0</v>
      </c>
      <c r="U648" s="47">
        <f t="shared" ca="1" si="166"/>
        <v>0</v>
      </c>
    </row>
    <row r="649" spans="1:21" ht="18.75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163"/>
        <v>0</v>
      </c>
      <c r="P649" s="49">
        <f t="shared" ca="1" si="164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165"/>
        <v>0</v>
      </c>
      <c r="U649" s="49">
        <f t="shared" ca="1" si="166"/>
        <v>0</v>
      </c>
    </row>
    <row r="650" spans="1:21" ht="18.75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163"/>
        <v>0</v>
      </c>
      <c r="P650" s="47">
        <f t="shared" ca="1" si="164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165"/>
        <v>0</v>
      </c>
      <c r="U650" s="47">
        <f t="shared" ca="1" si="166"/>
        <v>0</v>
      </c>
    </row>
    <row r="651" spans="1:21" ht="19.5" x14ac:dyDescent="0.3">
      <c r="A651" s="138"/>
      <c r="B651" s="139"/>
      <c r="C651" s="218" t="s">
        <v>18</v>
      </c>
      <c r="D651" s="426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27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ca="1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27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ca="1">IF(I653&gt;0,J653*100/I653,0)</f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ca="1">IF(I654&gt;0,J654*100/I654,0)</f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29"/>
      <c r="M662" s="429"/>
      <c r="N662" s="429"/>
      <c r="O662" s="46"/>
      <c r="P662" s="46"/>
      <c r="Q662" s="429"/>
      <c r="R662" s="429"/>
      <c r="S662" s="429"/>
      <c r="T662" s="46"/>
      <c r="U662" s="46"/>
    </row>
    <row r="663" spans="1:21" ht="18.75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29"/>
      <c r="M663" s="429"/>
      <c r="N663" s="429"/>
      <c r="O663" s="46"/>
      <c r="P663" s="46"/>
      <c r="Q663" s="429"/>
      <c r="R663" s="429"/>
      <c r="S663" s="429"/>
      <c r="T663" s="46"/>
      <c r="U663" s="46"/>
    </row>
    <row r="664" spans="1:21" ht="18.75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29"/>
      <c r="M664" s="429"/>
      <c r="N664" s="429"/>
      <c r="O664" s="46"/>
      <c r="P664" s="46"/>
      <c r="Q664" s="429"/>
      <c r="R664" s="429"/>
      <c r="S664" s="429"/>
      <c r="T664" s="46"/>
      <c r="U664" s="46"/>
    </row>
    <row r="665" spans="1:21" ht="18.75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29"/>
      <c r="M665" s="429"/>
      <c r="N665" s="429"/>
      <c r="O665" s="46"/>
      <c r="P665" s="46"/>
      <c r="Q665" s="429"/>
      <c r="R665" s="429"/>
      <c r="S665" s="429"/>
      <c r="T665" s="46"/>
      <c r="U665" s="46"/>
    </row>
    <row r="666" spans="1:21" ht="18.75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29"/>
      <c r="M666" s="429"/>
      <c r="N666" s="429"/>
      <c r="O666" s="46"/>
      <c r="P666" s="46"/>
      <c r="Q666" s="429"/>
      <c r="R666" s="429"/>
      <c r="S666" s="429"/>
      <c r="T666" s="46"/>
      <c r="U666" s="46"/>
    </row>
    <row r="667" spans="1:21" ht="18.75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29"/>
      <c r="M667" s="429"/>
      <c r="N667" s="429"/>
      <c r="O667" s="46"/>
      <c r="P667" s="46"/>
      <c r="Q667" s="429"/>
      <c r="R667" s="429"/>
      <c r="S667" s="429"/>
      <c r="T667" s="46"/>
      <c r="U667" s="46"/>
    </row>
    <row r="668" spans="1:21" ht="18.75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29"/>
      <c r="M668" s="429"/>
      <c r="N668" s="429"/>
      <c r="O668" s="46"/>
      <c r="P668" s="46"/>
      <c r="Q668" s="429"/>
      <c r="R668" s="429"/>
      <c r="S668" s="429"/>
      <c r="T668" s="46"/>
      <c r="U668" s="46"/>
    </row>
    <row r="669" spans="1:21" ht="18.75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29"/>
      <c r="M669" s="429"/>
      <c r="N669" s="429"/>
      <c r="O669" s="46"/>
      <c r="P669" s="46"/>
      <c r="Q669" s="429"/>
      <c r="R669" s="429"/>
      <c r="S669" s="429"/>
      <c r="T669" s="46"/>
      <c r="U669" s="46"/>
    </row>
    <row r="670" spans="1:21" ht="18.75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29"/>
      <c r="M670" s="429"/>
      <c r="N670" s="429"/>
      <c r="O670" s="46"/>
      <c r="P670" s="46"/>
      <c r="Q670" s="429"/>
      <c r="R670" s="429"/>
      <c r="S670" s="429"/>
      <c r="T670" s="46"/>
      <c r="U670" s="46"/>
    </row>
    <row r="671" spans="1:21" ht="18.75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29"/>
      <c r="M672" s="429"/>
      <c r="N672" s="429"/>
      <c r="O672" s="46"/>
      <c r="P672" s="46"/>
      <c r="Q672" s="429"/>
      <c r="R672" s="429"/>
      <c r="S672" s="429"/>
      <c r="T672" s="46"/>
      <c r="U672" s="46"/>
    </row>
    <row r="673" spans="1:21" ht="18.75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27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ca="1">IF(I673&gt;0,J673*100/I673,0)</f>
        <v>0</v>
      </c>
      <c r="L673" s="429"/>
      <c r="M673" s="429"/>
      <c r="N673" s="429"/>
      <c r="O673" s="46"/>
      <c r="P673" s="46"/>
      <c r="Q673" s="429"/>
      <c r="R673" s="429"/>
      <c r="S673" s="429"/>
      <c r="T673" s="46"/>
      <c r="U673" s="46"/>
    </row>
    <row r="674" spans="1:21" ht="19.5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ca="1">IF(I674&gt;0,J674*100/I674,0)</f>
        <v>0</v>
      </c>
      <c r="L674" s="429"/>
      <c r="M674" s="429"/>
      <c r="N674" s="429"/>
      <c r="O674" s="46"/>
      <c r="P674" s="46"/>
      <c r="Q674" s="429"/>
      <c r="R674" s="429"/>
      <c r="S674" s="429"/>
      <c r="T674" s="46"/>
      <c r="U674" s="46"/>
    </row>
    <row r="675" spans="1:21" ht="19.5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ca="1">IF(I675&gt;0,J675*100/I675,0)</f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27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ca="1">IF(I676&gt;0,J676*100/I676,0)</f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29"/>
      <c r="M677" s="429"/>
      <c r="N677" s="429"/>
      <c r="O677" s="46"/>
      <c r="P677" s="46"/>
      <c r="Q677" s="429"/>
      <c r="R677" s="429"/>
      <c r="S677" s="429"/>
      <c r="T677" s="46"/>
      <c r="U677" s="46"/>
    </row>
    <row r="678" spans="1:21" ht="18.75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27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ca="1">IF(I678&gt;0,J678*100/I678,0)</f>
        <v>0</v>
      </c>
      <c r="L678" s="429"/>
      <c r="M678" s="429"/>
      <c r="N678" s="429"/>
      <c r="O678" s="46"/>
      <c r="P678" s="46"/>
      <c r="Q678" s="429"/>
      <c r="R678" s="429"/>
      <c r="S678" s="429"/>
      <c r="T678" s="46"/>
      <c r="U678" s="46"/>
    </row>
    <row r="679" spans="1:21" ht="18.75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27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ca="1">IF(I679&gt;0,J679*100/I679,0)</f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29"/>
      <c r="M680" s="429"/>
      <c r="N680" s="429"/>
      <c r="O680" s="46"/>
      <c r="P680" s="46"/>
      <c r="Q680" s="429"/>
      <c r="R680" s="429"/>
      <c r="S680" s="429"/>
      <c r="T680" s="46"/>
      <c r="U680" s="46"/>
    </row>
    <row r="681" spans="1:21" ht="18.75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27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ca="1">IF(I681&gt;0,J681*100/I681,0)</f>
        <v>0</v>
      </c>
      <c r="L681" s="429"/>
      <c r="M681" s="429"/>
      <c r="N681" s="429"/>
      <c r="O681" s="46"/>
      <c r="P681" s="46"/>
      <c r="Q681" s="429"/>
      <c r="R681" s="429"/>
      <c r="S681" s="429"/>
      <c r="T681" s="46"/>
      <c r="U681" s="46"/>
    </row>
    <row r="682" spans="1:21" ht="19.5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ca="1">IF(I682&gt;0,J682*100/I682,0)</f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29"/>
      <c r="M683" s="429"/>
      <c r="N683" s="429"/>
      <c r="O683" s="46"/>
      <c r="P683" s="46"/>
      <c r="Q683" s="429"/>
      <c r="R683" s="429"/>
      <c r="S683" s="429"/>
      <c r="T683" s="46"/>
      <c r="U683" s="46"/>
    </row>
    <row r="684" spans="1:21" ht="18.75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29"/>
      <c r="M684" s="429"/>
      <c r="N684" s="429"/>
      <c r="O684" s="46"/>
      <c r="P684" s="46"/>
      <c r="Q684" s="429"/>
      <c r="R684" s="429"/>
      <c r="S684" s="429"/>
      <c r="T684" s="46"/>
      <c r="U684" s="46"/>
    </row>
    <row r="685" spans="1:21" ht="18.75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29"/>
      <c r="M685" s="429"/>
      <c r="N685" s="429"/>
      <c r="O685" s="46"/>
      <c r="P685" s="46"/>
      <c r="Q685" s="429"/>
      <c r="R685" s="429"/>
      <c r="S685" s="429"/>
      <c r="T685" s="46"/>
      <c r="U685" s="46"/>
    </row>
    <row r="686" spans="1:21" ht="18.75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29"/>
      <c r="M686" s="429"/>
      <c r="N686" s="429"/>
      <c r="O686" s="46"/>
      <c r="P686" s="46"/>
      <c r="Q686" s="429"/>
      <c r="R686" s="429"/>
      <c r="S686" s="429"/>
      <c r="T686" s="46"/>
      <c r="U686" s="46"/>
    </row>
    <row r="687" spans="1:21" ht="18.75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29"/>
      <c r="M687" s="429"/>
      <c r="N687" s="429"/>
      <c r="O687" s="46"/>
      <c r="P687" s="46"/>
      <c r="Q687" s="429"/>
      <c r="R687" s="429"/>
      <c r="S687" s="429"/>
      <c r="T687" s="46"/>
      <c r="U687" s="46"/>
    </row>
    <row r="688" spans="1:21" ht="19.5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31"/>
      <c r="M688" s="431"/>
      <c r="N688" s="431"/>
      <c r="O688" s="4"/>
      <c r="P688" s="4"/>
      <c r="Q688" s="431"/>
      <c r="R688" s="431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32" t="s">
        <v>35</v>
      </c>
      <c r="I689" s="433">
        <f ca="1">I707</f>
        <v>76</v>
      </c>
      <c r="J689" s="433">
        <f ca="1">J707</f>
        <v>0</v>
      </c>
      <c r="K689" s="434">
        <f ca="1">IF(I689&gt;0,J689*100/I689,0)</f>
        <v>0</v>
      </c>
      <c r="L689" s="412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73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132">
        <f ca="1">L691+L692</f>
        <v>0</v>
      </c>
      <c r="M690" s="132">
        <f ca="1">M691+M692</f>
        <v>0</v>
      </c>
      <c r="N690" s="132">
        <f ca="1">N691+N692</f>
        <v>0</v>
      </c>
      <c r="O690" s="132">
        <f t="shared" ref="O690:O698" ca="1" si="169">IF(L690&gt;0,N690*100/L690,0)</f>
        <v>0</v>
      </c>
      <c r="P690" s="132">
        <f t="shared" ref="P690:P698" ca="1" si="170">IF(M690&gt;0,N690*100/M690,0)</f>
        <v>0</v>
      </c>
      <c r="Q690" s="132">
        <f ca="1">Q691+Q692</f>
        <v>865550</v>
      </c>
      <c r="R690" s="132">
        <f ca="1">R691+R692</f>
        <v>865550</v>
      </c>
      <c r="S690" s="132">
        <f ca="1">S691+S692</f>
        <v>91435.05</v>
      </c>
      <c r="T690" s="132">
        <f t="shared" ref="T690:T698" ca="1" si="171">IF(Q690&gt;0,S690*100/Q690,0)</f>
        <v>10.563809138697938</v>
      </c>
      <c r="U690" s="132">
        <f t="shared" ref="U690:U698" ca="1" si="172">IF(R690&gt;0,S690*100/R690,0)</f>
        <v>10.563809138697938</v>
      </c>
    </row>
    <row r="691" spans="1:21" ht="18.75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2" ca="1" si="173">L694+L697</f>
        <v>0</v>
      </c>
      <c r="M691" s="49">
        <f t="shared" ca="1" si="173"/>
        <v>0</v>
      </c>
      <c r="N691" s="49">
        <f t="shared" ca="1" si="173"/>
        <v>0</v>
      </c>
      <c r="O691" s="49">
        <f t="shared" ca="1" si="169"/>
        <v>0</v>
      </c>
      <c r="P691" s="49">
        <f t="shared" ca="1" si="170"/>
        <v>0</v>
      </c>
      <c r="Q691" s="49">
        <f t="shared" ref="Q691:S692" ca="1" si="174">Q694+Q697</f>
        <v>0</v>
      </c>
      <c r="R691" s="49">
        <f t="shared" ca="1" si="174"/>
        <v>0</v>
      </c>
      <c r="S691" s="49">
        <f t="shared" ca="1" si="174"/>
        <v>0</v>
      </c>
      <c r="T691" s="49">
        <f t="shared" ca="1" si="171"/>
        <v>0</v>
      </c>
      <c r="U691" s="49">
        <f t="shared" ca="1" si="172"/>
        <v>0</v>
      </c>
    </row>
    <row r="692" spans="1:21" ht="18.75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ca="1" si="173"/>
        <v>0</v>
      </c>
      <c r="M692" s="47">
        <f t="shared" ca="1" si="173"/>
        <v>0</v>
      </c>
      <c r="N692" s="47">
        <f t="shared" ca="1" si="173"/>
        <v>0</v>
      </c>
      <c r="O692" s="47">
        <f t="shared" ca="1" si="169"/>
        <v>0</v>
      </c>
      <c r="P692" s="47">
        <f t="shared" ca="1" si="170"/>
        <v>0</v>
      </c>
      <c r="Q692" s="47">
        <f t="shared" ca="1" si="174"/>
        <v>865550</v>
      </c>
      <c r="R692" s="47">
        <f t="shared" ca="1" si="174"/>
        <v>865550</v>
      </c>
      <c r="S692" s="47">
        <f t="shared" ca="1" si="174"/>
        <v>91435.05</v>
      </c>
      <c r="T692" s="47">
        <f t="shared" ca="1" si="171"/>
        <v>10.563809138697938</v>
      </c>
      <c r="U692" s="47">
        <f t="shared" ca="1" si="172"/>
        <v>10.563809138697938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ca="1">L694+L695</f>
        <v>0</v>
      </c>
      <c r="M693" s="47">
        <f ca="1">M694+M695</f>
        <v>0</v>
      </c>
      <c r="N693" s="47">
        <f ca="1">N694+N695</f>
        <v>0</v>
      </c>
      <c r="O693" s="47">
        <f t="shared" ca="1" si="169"/>
        <v>0</v>
      </c>
      <c r="P693" s="47">
        <f t="shared" ca="1" si="170"/>
        <v>0</v>
      </c>
      <c r="Q693" s="47">
        <f ca="1">Q694+Q695</f>
        <v>865550</v>
      </c>
      <c r="R693" s="47">
        <f ca="1">R694+R695</f>
        <v>865550</v>
      </c>
      <c r="S693" s="47">
        <f ca="1">S694+S695</f>
        <v>91435.05</v>
      </c>
      <c r="T693" s="47">
        <f t="shared" ca="1" si="171"/>
        <v>10.563809138697938</v>
      </c>
      <c r="U693" s="47">
        <f t="shared" ca="1" si="172"/>
        <v>10.563809138697938</v>
      </c>
    </row>
    <row r="694" spans="1:21" ht="18.75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169"/>
        <v>0</v>
      </c>
      <c r="P694" s="49">
        <f t="shared" ca="1" si="170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171"/>
        <v>0</v>
      </c>
      <c r="U694" s="49">
        <f t="shared" ca="1" si="172"/>
        <v>0</v>
      </c>
    </row>
    <row r="695" spans="1:21" ht="18.75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169"/>
        <v>0</v>
      </c>
      <c r="P695" s="47">
        <f t="shared" ca="1" si="170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865550)</f>
        <v>865550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91435.05)</f>
        <v>91435.05</v>
      </c>
      <c r="T695" s="47">
        <f t="shared" ca="1" si="171"/>
        <v>10.563809138697938</v>
      </c>
      <c r="U695" s="47">
        <f t="shared" ca="1" si="172"/>
        <v>10.563809138697938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ca="1">L697+L698</f>
        <v>0</v>
      </c>
      <c r="M696" s="47">
        <f ca="1">M697+M698</f>
        <v>0</v>
      </c>
      <c r="N696" s="47">
        <f ca="1">N697+N698</f>
        <v>0</v>
      </c>
      <c r="O696" s="47">
        <f t="shared" ca="1" si="169"/>
        <v>0</v>
      </c>
      <c r="P696" s="47">
        <f t="shared" ca="1" si="170"/>
        <v>0</v>
      </c>
      <c r="Q696" s="47">
        <f ca="1">Q697+Q698</f>
        <v>0</v>
      </c>
      <c r="R696" s="47">
        <f ca="1">R697+R698</f>
        <v>0</v>
      </c>
      <c r="S696" s="47">
        <f ca="1">S697+S698</f>
        <v>0</v>
      </c>
      <c r="T696" s="47">
        <f t="shared" ca="1" si="171"/>
        <v>0</v>
      </c>
      <c r="U696" s="47">
        <f t="shared" ca="1" si="172"/>
        <v>0</v>
      </c>
    </row>
    <row r="697" spans="1:21" ht="18.75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169"/>
        <v>0</v>
      </c>
      <c r="P697" s="49">
        <f t="shared" ca="1" si="170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171"/>
        <v>0</v>
      </c>
      <c r="U697" s="49">
        <f t="shared" ca="1" si="172"/>
        <v>0</v>
      </c>
    </row>
    <row r="698" spans="1:21" ht="18.75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169"/>
        <v>0</v>
      </c>
      <c r="P698" s="47">
        <f t="shared" ca="1" si="170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171"/>
        <v>0</v>
      </c>
      <c r="U698" s="47">
        <f t="shared" ca="1" si="172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175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113</v>
      </c>
      <c r="J701" s="147">
        <f ca="1">J703+J705</f>
        <v>2</v>
      </c>
      <c r="K701" s="132">
        <f t="shared" ca="1" si="175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175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175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175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175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175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0)</f>
        <v>0</v>
      </c>
      <c r="K707" s="47">
        <f t="shared" ca="1" si="175"/>
        <v>0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0)</f>
        <v>0</v>
      </c>
      <c r="K708" s="47">
        <f t="shared" si="175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24)</f>
        <v>24</v>
      </c>
      <c r="K709" s="47">
        <f t="shared" ca="1" si="175"/>
        <v>64.86486486486487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175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x14ac:dyDescent="0.3">
      <c r="A714" s="128"/>
      <c r="B714" s="159"/>
      <c r="C714" s="326" t="s">
        <v>18</v>
      </c>
      <c r="D714" s="770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132">
        <f ca="1">L715+L716</f>
        <v>0</v>
      </c>
      <c r="M714" s="132">
        <f ca="1">M715+M716</f>
        <v>0</v>
      </c>
      <c r="N714" s="132">
        <f ca="1">N715+N716</f>
        <v>0</v>
      </c>
      <c r="O714" s="132">
        <f t="shared" ref="O714:O722" ca="1" si="176">IF(L714&gt;0,N714*100/L714,0)</f>
        <v>0</v>
      </c>
      <c r="P714" s="132">
        <f t="shared" ref="P714:P722" ca="1" si="177">IF(M714&gt;0,N714*100/M714,0)</f>
        <v>0</v>
      </c>
      <c r="Q714" s="132">
        <f ca="1">Q715+Q716</f>
        <v>0</v>
      </c>
      <c r="R714" s="132">
        <f ca="1">R715+R716</f>
        <v>0</v>
      </c>
      <c r="S714" s="132">
        <f ca="1">S715+S716</f>
        <v>0</v>
      </c>
      <c r="T714" s="132">
        <f t="shared" ref="T714:T722" ca="1" si="178">IF(Q714&gt;0,S714*100/Q714,0)</f>
        <v>0</v>
      </c>
      <c r="U714" s="132">
        <f t="shared" ref="U714:U722" ca="1" si="179">IF(R714&gt;0,S714*100/R714,0)</f>
        <v>0</v>
      </c>
    </row>
    <row r="715" spans="1:21" ht="18.75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6" ca="1" si="180">L718+L721</f>
        <v>0</v>
      </c>
      <c r="M715" s="49">
        <f t="shared" ca="1" si="180"/>
        <v>0</v>
      </c>
      <c r="N715" s="49">
        <f t="shared" ca="1" si="180"/>
        <v>0</v>
      </c>
      <c r="O715" s="49">
        <f t="shared" ca="1" si="176"/>
        <v>0</v>
      </c>
      <c r="P715" s="49">
        <f t="shared" ca="1" si="177"/>
        <v>0</v>
      </c>
      <c r="Q715" s="49">
        <f t="shared" ref="Q715:S716" ca="1" si="181">Q718+Q721</f>
        <v>0</v>
      </c>
      <c r="R715" s="49">
        <f t="shared" ca="1" si="181"/>
        <v>0</v>
      </c>
      <c r="S715" s="49">
        <f t="shared" ca="1" si="181"/>
        <v>0</v>
      </c>
      <c r="T715" s="49">
        <f t="shared" ca="1" si="178"/>
        <v>0</v>
      </c>
      <c r="U715" s="49">
        <f t="shared" ca="1" si="179"/>
        <v>0</v>
      </c>
    </row>
    <row r="716" spans="1:21" ht="18.75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ca="1" si="180"/>
        <v>0</v>
      </c>
      <c r="M716" s="47">
        <f t="shared" ca="1" si="180"/>
        <v>0</v>
      </c>
      <c r="N716" s="47">
        <f t="shared" ca="1" si="180"/>
        <v>0</v>
      </c>
      <c r="O716" s="47">
        <f t="shared" ca="1" si="176"/>
        <v>0</v>
      </c>
      <c r="P716" s="47">
        <f t="shared" ca="1" si="177"/>
        <v>0</v>
      </c>
      <c r="Q716" s="47">
        <f t="shared" ca="1" si="181"/>
        <v>0</v>
      </c>
      <c r="R716" s="47">
        <f t="shared" ca="1" si="181"/>
        <v>0</v>
      </c>
      <c r="S716" s="47">
        <f t="shared" ca="1" si="181"/>
        <v>0</v>
      </c>
      <c r="T716" s="47">
        <f t="shared" ca="1" si="178"/>
        <v>0</v>
      </c>
      <c r="U716" s="47">
        <f t="shared" ca="1" si="179"/>
        <v>0</v>
      </c>
    </row>
    <row r="717" spans="1:21" ht="19.5" x14ac:dyDescent="0.3">
      <c r="A717" s="128"/>
      <c r="B717" s="159"/>
      <c r="C717" s="159"/>
      <c r="D717" s="385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7">
        <f ca="1">L718+L719</f>
        <v>0</v>
      </c>
      <c r="M717" s="47">
        <f ca="1">M718+M719</f>
        <v>0</v>
      </c>
      <c r="N717" s="47">
        <f ca="1">N718+N719</f>
        <v>0</v>
      </c>
      <c r="O717" s="47">
        <f t="shared" ca="1" si="176"/>
        <v>0</v>
      </c>
      <c r="P717" s="47">
        <f t="shared" ca="1" si="177"/>
        <v>0</v>
      </c>
      <c r="Q717" s="47">
        <f ca="1">Q718+Q719</f>
        <v>0</v>
      </c>
      <c r="R717" s="47">
        <f ca="1">R718+R719</f>
        <v>0</v>
      </c>
      <c r="S717" s="47">
        <f ca="1">S718+S719</f>
        <v>0</v>
      </c>
      <c r="T717" s="47">
        <f t="shared" ca="1" si="178"/>
        <v>0</v>
      </c>
      <c r="U717" s="47">
        <f t="shared" ca="1" si="179"/>
        <v>0</v>
      </c>
    </row>
    <row r="718" spans="1:21" ht="18.75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176"/>
        <v>0</v>
      </c>
      <c r="P718" s="49">
        <f t="shared" ca="1" si="177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178"/>
        <v>0</v>
      </c>
      <c r="U718" s="49">
        <f t="shared" ca="1" si="179"/>
        <v>0</v>
      </c>
    </row>
    <row r="719" spans="1:21" ht="18.75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176"/>
        <v>0</v>
      </c>
      <c r="P719" s="47">
        <f t="shared" ca="1" si="177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178"/>
        <v>0</v>
      </c>
      <c r="U719" s="47">
        <f t="shared" ca="1" si="179"/>
        <v>0</v>
      </c>
    </row>
    <row r="720" spans="1:21" ht="19.5" x14ac:dyDescent="0.3">
      <c r="A720" s="128"/>
      <c r="B720" s="159"/>
      <c r="C720" s="159"/>
      <c r="D720" s="385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7">
        <f ca="1">L721+L722</f>
        <v>0</v>
      </c>
      <c r="M720" s="47">
        <f ca="1">M721+M722</f>
        <v>0</v>
      </c>
      <c r="N720" s="47">
        <f ca="1">N721+N722</f>
        <v>0</v>
      </c>
      <c r="O720" s="47">
        <f t="shared" ca="1" si="176"/>
        <v>0</v>
      </c>
      <c r="P720" s="47">
        <f t="shared" ca="1" si="177"/>
        <v>0</v>
      </c>
      <c r="Q720" s="47">
        <f ca="1">Q721+Q722</f>
        <v>0</v>
      </c>
      <c r="R720" s="47">
        <f ca="1">R721+R722</f>
        <v>0</v>
      </c>
      <c r="S720" s="47">
        <f ca="1">S721+S722</f>
        <v>0</v>
      </c>
      <c r="T720" s="47">
        <f t="shared" ca="1" si="178"/>
        <v>0</v>
      </c>
      <c r="U720" s="47">
        <f t="shared" ca="1" si="179"/>
        <v>0</v>
      </c>
    </row>
    <row r="721" spans="1:21" ht="18.75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176"/>
        <v>0</v>
      </c>
      <c r="P721" s="49">
        <f t="shared" ca="1" si="177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178"/>
        <v>0</v>
      </c>
      <c r="U721" s="49">
        <f t="shared" ca="1" si="179"/>
        <v>0</v>
      </c>
    </row>
    <row r="722" spans="1:21" ht="18.75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176"/>
        <v>0</v>
      </c>
      <c r="P722" s="47">
        <f t="shared" ca="1" si="177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178"/>
        <v>0</v>
      </c>
      <c r="U722" s="47">
        <f t="shared" ca="1" si="179"/>
        <v>0</v>
      </c>
    </row>
    <row r="723" spans="1:21" ht="19.5" x14ac:dyDescent="0.3">
      <c r="A723" s="138"/>
      <c r="B723" s="139"/>
      <c r="C723" s="326" t="s">
        <v>18</v>
      </c>
      <c r="D723" s="440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33">
        <f ca="1">J742+J746+J749</f>
        <v>116</v>
      </c>
      <c r="K726" s="434">
        <f ca="1">IF(I726&gt;0,J726*100/I726,0)</f>
        <v>40.845070422535208</v>
      </c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33">
        <f ca="1">J752+J755</f>
        <v>0</v>
      </c>
      <c r="K727" s="434">
        <f ca="1">IF(I727&gt;0,J727*100/I727,0)</f>
        <v>0</v>
      </c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73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132">
        <f ca="1">L729+L730</f>
        <v>0</v>
      </c>
      <c r="M728" s="132">
        <f ca="1">M729+M730</f>
        <v>0</v>
      </c>
      <c r="N728" s="132">
        <f ca="1">N729+N730</f>
        <v>0</v>
      </c>
      <c r="O728" s="132">
        <f t="shared" ref="O728:O736" ca="1" si="182">IF(L728&gt;0,N728*100/L728,0)</f>
        <v>0</v>
      </c>
      <c r="P728" s="132">
        <f t="shared" ref="P728:P736" ca="1" si="183">IF(M728&gt;0,N728*100/M728,0)</f>
        <v>0</v>
      </c>
      <c r="Q728" s="132">
        <f ca="1">Q729+Q730</f>
        <v>2422324</v>
      </c>
      <c r="R728" s="132">
        <f ca="1">R729+R730</f>
        <v>2479224</v>
      </c>
      <c r="S728" s="132">
        <f ca="1">S729+S730</f>
        <v>356684.61</v>
      </c>
      <c r="T728" s="132">
        <f t="shared" ref="T728:T736" ca="1" si="184">IF(Q728&gt;0,S728*100/Q728,0)</f>
        <v>14.724892706343164</v>
      </c>
      <c r="U728" s="132">
        <f t="shared" ref="U728:U736" ca="1" si="185">IF(R728&gt;0,S728*100/R728,0)</f>
        <v>14.386945673323588</v>
      </c>
    </row>
    <row r="729" spans="1:21" ht="18.75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30" ca="1" si="186">L732+L735</f>
        <v>0</v>
      </c>
      <c r="M729" s="49">
        <f t="shared" ca="1" si="186"/>
        <v>0</v>
      </c>
      <c r="N729" s="49">
        <f t="shared" ca="1" si="186"/>
        <v>0</v>
      </c>
      <c r="O729" s="49">
        <f t="shared" ca="1" si="182"/>
        <v>0</v>
      </c>
      <c r="P729" s="49">
        <f t="shared" ca="1" si="183"/>
        <v>0</v>
      </c>
      <c r="Q729" s="49">
        <f t="shared" ref="Q729:S730" ca="1" si="187">Q732+Q735</f>
        <v>0</v>
      </c>
      <c r="R729" s="49">
        <f t="shared" ca="1" si="187"/>
        <v>0</v>
      </c>
      <c r="S729" s="49">
        <f t="shared" ca="1" si="187"/>
        <v>0</v>
      </c>
      <c r="T729" s="49">
        <f t="shared" ca="1" si="184"/>
        <v>0</v>
      </c>
      <c r="U729" s="49">
        <f t="shared" ca="1" si="185"/>
        <v>0</v>
      </c>
    </row>
    <row r="730" spans="1:21" ht="18.75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ca="1" si="186"/>
        <v>0</v>
      </c>
      <c r="M730" s="47">
        <f t="shared" ca="1" si="186"/>
        <v>0</v>
      </c>
      <c r="N730" s="47">
        <f t="shared" ca="1" si="186"/>
        <v>0</v>
      </c>
      <c r="O730" s="47">
        <f t="shared" ca="1" si="182"/>
        <v>0</v>
      </c>
      <c r="P730" s="47">
        <f t="shared" ca="1" si="183"/>
        <v>0</v>
      </c>
      <c r="Q730" s="47">
        <f t="shared" ca="1" si="187"/>
        <v>2422324</v>
      </c>
      <c r="R730" s="47">
        <f t="shared" ca="1" si="187"/>
        <v>2479224</v>
      </c>
      <c r="S730" s="47">
        <f t="shared" ca="1" si="187"/>
        <v>356684.61</v>
      </c>
      <c r="T730" s="47">
        <f t="shared" ca="1" si="184"/>
        <v>14.724892706343164</v>
      </c>
      <c r="U730" s="47">
        <f t="shared" ca="1" si="185"/>
        <v>14.386945673323588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ca="1">L732+L733</f>
        <v>0</v>
      </c>
      <c r="M731" s="47">
        <f ca="1">M732+M733</f>
        <v>0</v>
      </c>
      <c r="N731" s="47">
        <f ca="1">N732+N733</f>
        <v>0</v>
      </c>
      <c r="O731" s="47">
        <f t="shared" ca="1" si="182"/>
        <v>0</v>
      </c>
      <c r="P731" s="47">
        <f t="shared" ca="1" si="183"/>
        <v>0</v>
      </c>
      <c r="Q731" s="47">
        <f ca="1">Q732+Q733</f>
        <v>2422324</v>
      </c>
      <c r="R731" s="47">
        <f ca="1">R732+R733</f>
        <v>2479224</v>
      </c>
      <c r="S731" s="47">
        <f ca="1">S732+S733</f>
        <v>356684.61</v>
      </c>
      <c r="T731" s="47">
        <f t="shared" ca="1" si="184"/>
        <v>14.724892706343164</v>
      </c>
      <c r="U731" s="47">
        <f t="shared" ca="1" si="185"/>
        <v>14.386945673323588</v>
      </c>
    </row>
    <row r="732" spans="1:21" ht="18.75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182"/>
        <v>0</v>
      </c>
      <c r="P732" s="49">
        <f t="shared" ca="1" si="183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184"/>
        <v>0</v>
      </c>
      <c r="U732" s="49">
        <f t="shared" ca="1" si="185"/>
        <v>0</v>
      </c>
    </row>
    <row r="733" spans="1:21" ht="18.75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182"/>
        <v>0</v>
      </c>
      <c r="P733" s="47">
        <f t="shared" ca="1" si="183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356684.61)</f>
        <v>356684.61</v>
      </c>
      <c r="T733" s="47">
        <f t="shared" ca="1" si="184"/>
        <v>14.724892706343164</v>
      </c>
      <c r="U733" s="47">
        <f t="shared" ca="1" si="185"/>
        <v>14.386945673323588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ca="1">L735+L736</f>
        <v>0</v>
      </c>
      <c r="M734" s="47">
        <f ca="1">M735+M736</f>
        <v>0</v>
      </c>
      <c r="N734" s="47">
        <f ca="1">N735+N736</f>
        <v>0</v>
      </c>
      <c r="O734" s="47">
        <f t="shared" ca="1" si="182"/>
        <v>0</v>
      </c>
      <c r="P734" s="47">
        <f t="shared" ca="1" si="183"/>
        <v>0</v>
      </c>
      <c r="Q734" s="47">
        <f ca="1">Q735+Q736</f>
        <v>0</v>
      </c>
      <c r="R734" s="47">
        <f ca="1">R735+R736</f>
        <v>0</v>
      </c>
      <c r="S734" s="47">
        <f ca="1">S735+S736</f>
        <v>0</v>
      </c>
      <c r="T734" s="47">
        <f t="shared" ca="1" si="184"/>
        <v>0</v>
      </c>
      <c r="U734" s="47">
        <f t="shared" ca="1" si="185"/>
        <v>0</v>
      </c>
    </row>
    <row r="735" spans="1:21" ht="18.75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182"/>
        <v>0</v>
      </c>
      <c r="P735" s="49">
        <f t="shared" ca="1" si="183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184"/>
        <v>0</v>
      </c>
      <c r="U735" s="49">
        <f t="shared" ca="1" si="185"/>
        <v>0</v>
      </c>
    </row>
    <row r="736" spans="1:21" ht="18.75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182"/>
        <v>0</v>
      </c>
      <c r="P736" s="47">
        <f t="shared" ca="1" si="183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184"/>
        <v>0</v>
      </c>
      <c r="U736" s="47">
        <f t="shared" ca="1" si="185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2" t="s">
        <v>271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895)</f>
        <v>895</v>
      </c>
      <c r="K740" s="47">
        <f ca="1">IF(I740&gt;0,J740*100/I740,0)</f>
        <v>41.435185185185183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2" t="s">
        <v>272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64)</f>
        <v>64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2" t="s">
        <v>273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85)</f>
        <v>85</v>
      </c>
      <c r="K742" s="47">
        <f ca="1">IF(I742&gt;0,J742*100/I742,0)</f>
        <v>39.351851851851855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2" t="s">
        <v>274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2" t="s">
        <v>271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225)</f>
        <v>225</v>
      </c>
      <c r="K744" s="47">
        <f ca="1">IF(I744&gt;0,J744*100/I744,0)</f>
        <v>41.666666666666664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2" t="s">
        <v>275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16)</f>
        <v>16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2" t="s">
        <v>276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22)</f>
        <v>22</v>
      </c>
      <c r="K746" s="47">
        <f ca="1">IF(I746&gt;0,J746*100/I746,0)</f>
        <v>40.74074074074074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2" t="s">
        <v>277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2" t="s">
        <v>278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2" t="s">
        <v>279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9)</f>
        <v>9</v>
      </c>
      <c r="K749" s="47">
        <f ca="1">IF(I749&gt;0,J749*100/I749,0)</f>
        <v>64.285714285714292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45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2" t="s">
        <v>270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2" s="47">
        <f ca="1">IF(I752&gt;0,J752*100/I752,0)</f>
        <v>0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2" t="s">
        <v>274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5" s="47">
        <f ca="1">IF(I755&gt;0,J755*100/I755,0)</f>
        <v>0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240</v>
      </c>
      <c r="J758" s="433">
        <f ca="1">J772</f>
        <v>55</v>
      </c>
      <c r="K758" s="434">
        <f ca="1">IF(I758&gt;0,J758*100/I758,0)</f>
        <v>22.916666666666668</v>
      </c>
      <c r="L758" s="412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625</v>
      </c>
      <c r="J759" s="433">
        <f ca="1">J774</f>
        <v>90</v>
      </c>
      <c r="K759" s="434">
        <f ca="1">IF(I759&gt;0,J759*100/I759,0)</f>
        <v>14.4</v>
      </c>
      <c r="L759" s="412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73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132">
        <f ca="1">L761+L762</f>
        <v>0</v>
      </c>
      <c r="M760" s="132">
        <f ca="1">M761+M762</f>
        <v>0</v>
      </c>
      <c r="N760" s="132">
        <f ca="1">N761+N762</f>
        <v>0</v>
      </c>
      <c r="O760" s="132">
        <f t="shared" ref="O760:O768" ca="1" si="188">IF(L760&gt;0,N760*100/L760,0)</f>
        <v>0</v>
      </c>
      <c r="P760" s="132">
        <f t="shared" ref="P760:P768" ca="1" si="189">IF(M760&gt;0,N760*100/M760,0)</f>
        <v>0</v>
      </c>
      <c r="Q760" s="132">
        <f ca="1">Q761+Q762</f>
        <v>2015140</v>
      </c>
      <c r="R760" s="132">
        <f ca="1">R761+R762</f>
        <v>2015140</v>
      </c>
      <c r="S760" s="132">
        <f ca="1">S761+S762</f>
        <v>507275.8</v>
      </c>
      <c r="T760" s="132">
        <f t="shared" ref="T760:T768" ca="1" si="190">IF(Q760&gt;0,S760*100/Q760,0)</f>
        <v>25.173228659050984</v>
      </c>
      <c r="U760" s="132">
        <f t="shared" ref="U760:U768" ca="1" si="191">IF(R760&gt;0,S760*100/R760,0)</f>
        <v>25.173228659050984</v>
      </c>
    </row>
    <row r="761" spans="1:21" ht="18.75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2" ca="1" si="192">L764+L767</f>
        <v>0</v>
      </c>
      <c r="M761" s="49">
        <f t="shared" ca="1" si="192"/>
        <v>0</v>
      </c>
      <c r="N761" s="49">
        <f t="shared" ca="1" si="192"/>
        <v>0</v>
      </c>
      <c r="O761" s="49">
        <f t="shared" ca="1" si="188"/>
        <v>0</v>
      </c>
      <c r="P761" s="49">
        <f t="shared" ca="1" si="189"/>
        <v>0</v>
      </c>
      <c r="Q761" s="49">
        <f t="shared" ref="Q761:S762" ca="1" si="193">Q764+Q767</f>
        <v>0</v>
      </c>
      <c r="R761" s="49">
        <f t="shared" ca="1" si="193"/>
        <v>0</v>
      </c>
      <c r="S761" s="49">
        <f t="shared" ca="1" si="193"/>
        <v>0</v>
      </c>
      <c r="T761" s="49">
        <f t="shared" ca="1" si="190"/>
        <v>0</v>
      </c>
      <c r="U761" s="49">
        <f t="shared" ca="1" si="191"/>
        <v>0</v>
      </c>
    </row>
    <row r="762" spans="1:21" ht="18.75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ca="1" si="192"/>
        <v>0</v>
      </c>
      <c r="M762" s="47">
        <f t="shared" ca="1" si="192"/>
        <v>0</v>
      </c>
      <c r="N762" s="47">
        <f t="shared" ca="1" si="192"/>
        <v>0</v>
      </c>
      <c r="O762" s="47">
        <f t="shared" ca="1" si="188"/>
        <v>0</v>
      </c>
      <c r="P762" s="47">
        <f t="shared" ca="1" si="189"/>
        <v>0</v>
      </c>
      <c r="Q762" s="47">
        <f t="shared" ca="1" si="193"/>
        <v>2015140</v>
      </c>
      <c r="R762" s="47">
        <f t="shared" ca="1" si="193"/>
        <v>2015140</v>
      </c>
      <c r="S762" s="47">
        <f t="shared" ca="1" si="193"/>
        <v>507275.8</v>
      </c>
      <c r="T762" s="47">
        <f t="shared" ca="1" si="190"/>
        <v>25.173228659050984</v>
      </c>
      <c r="U762" s="47">
        <f t="shared" ca="1" si="191"/>
        <v>25.173228659050984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ca="1">L764+L765</f>
        <v>0</v>
      </c>
      <c r="M763" s="47">
        <f ca="1">M764+M765</f>
        <v>0</v>
      </c>
      <c r="N763" s="47">
        <f ca="1">N764+N765</f>
        <v>0</v>
      </c>
      <c r="O763" s="47">
        <f t="shared" ca="1" si="188"/>
        <v>0</v>
      </c>
      <c r="P763" s="47">
        <f t="shared" ca="1" si="189"/>
        <v>0</v>
      </c>
      <c r="Q763" s="47">
        <f ca="1">Q764+Q765</f>
        <v>2015140</v>
      </c>
      <c r="R763" s="47">
        <f ca="1">R764+R765</f>
        <v>2015140</v>
      </c>
      <c r="S763" s="47">
        <f ca="1">S764+S765</f>
        <v>507275.8</v>
      </c>
      <c r="T763" s="47">
        <f t="shared" ca="1" si="190"/>
        <v>25.173228659050984</v>
      </c>
      <c r="U763" s="47">
        <f t="shared" ca="1" si="191"/>
        <v>25.173228659050984</v>
      </c>
    </row>
    <row r="764" spans="1:21" ht="18.75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188"/>
        <v>0</v>
      </c>
      <c r="P764" s="49">
        <f t="shared" ca="1" si="189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190"/>
        <v>0</v>
      </c>
      <c r="U764" s="49">
        <f t="shared" ca="1" si="191"/>
        <v>0</v>
      </c>
    </row>
    <row r="765" spans="1:21" ht="18.75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188"/>
        <v>0</v>
      </c>
      <c r="P765" s="47">
        <f t="shared" ca="1" si="189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507275.8)</f>
        <v>507275.8</v>
      </c>
      <c r="T765" s="47">
        <f t="shared" ca="1" si="190"/>
        <v>25.173228659050984</v>
      </c>
      <c r="U765" s="47">
        <f t="shared" ca="1" si="191"/>
        <v>25.173228659050984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ca="1">L767+L768</f>
        <v>0</v>
      </c>
      <c r="M766" s="47">
        <f ca="1">M767+M768</f>
        <v>0</v>
      </c>
      <c r="N766" s="47">
        <f ca="1">N767+N768</f>
        <v>0</v>
      </c>
      <c r="O766" s="47">
        <f t="shared" ca="1" si="188"/>
        <v>0</v>
      </c>
      <c r="P766" s="47">
        <f t="shared" ca="1" si="189"/>
        <v>0</v>
      </c>
      <c r="Q766" s="47">
        <f ca="1">Q767+Q768</f>
        <v>0</v>
      </c>
      <c r="R766" s="47">
        <f ca="1">R767+R768</f>
        <v>0</v>
      </c>
      <c r="S766" s="47">
        <f ca="1">S767+S768</f>
        <v>0</v>
      </c>
      <c r="T766" s="47">
        <f t="shared" ca="1" si="190"/>
        <v>0</v>
      </c>
      <c r="U766" s="47">
        <f t="shared" ca="1" si="191"/>
        <v>0</v>
      </c>
    </row>
    <row r="767" spans="1:21" ht="18.75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188"/>
        <v>0</v>
      </c>
      <c r="P767" s="49">
        <f t="shared" ca="1" si="189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190"/>
        <v>0</v>
      </c>
      <c r="U767" s="49">
        <f t="shared" ca="1" si="191"/>
        <v>0</v>
      </c>
    </row>
    <row r="768" spans="1:21" ht="18.75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188"/>
        <v>0</v>
      </c>
      <c r="P768" s="47">
        <f t="shared" ca="1" si="189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190"/>
        <v>0</v>
      </c>
      <c r="U768" s="47">
        <f t="shared" ca="1" si="191"/>
        <v>0</v>
      </c>
    </row>
    <row r="769" spans="1:21" ht="19.5" x14ac:dyDescent="0.3">
      <c r="A769" s="138"/>
      <c r="B769" s="139"/>
      <c r="C769" s="448" t="s">
        <v>18</v>
      </c>
      <c r="D769" s="421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0" s="327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55)</f>
        <v>55</v>
      </c>
      <c r="K772" s="47">
        <f ca="1">IF(I772&gt;0,J772*100/I772,0)</f>
        <v>22.916666666666668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90)</f>
        <v>90</v>
      </c>
      <c r="K774" s="47">
        <f ca="1">IF(I774&gt;0,J774*100/I774,0)</f>
        <v>14.4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20)</f>
        <v>20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46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10)</f>
        <v>10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49" t="s">
        <v>291</v>
      </c>
      <c r="B777" s="450"/>
      <c r="C777" s="450"/>
      <c r="D777" s="450"/>
      <c r="E777" s="451"/>
      <c r="F777" s="451"/>
      <c r="G777" s="452"/>
      <c r="H777" s="453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217"/>
      <c r="B778" s="218" t="s">
        <v>292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16476519.87)</f>
        <v>16476519.869999999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6147116.5)</f>
        <v>6147116.5</v>
      </c>
      <c r="K778" s="47">
        <f t="shared" ref="K778:K785" ca="1" si="194">IF(I778&gt;0,J778*100/I778,0)</f>
        <v>37.308342711330098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1260)</f>
        <v>1260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527)</f>
        <v>527</v>
      </c>
      <c r="K779" s="47">
        <f t="shared" ca="1" si="194"/>
        <v>41.825396825396822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293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2050356.95)</f>
        <v>2050356.95</v>
      </c>
      <c r="K780" s="47">
        <f t="shared" ca="1" si="194"/>
        <v>12.432189445680432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392)</f>
        <v>392</v>
      </c>
      <c r="K781" s="47">
        <f t="shared" ca="1" si="194"/>
        <v>52.688172043010752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294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413888.6)</f>
        <v>413888.6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142261.45)</f>
        <v>142261.45000000001</v>
      </c>
      <c r="K782" s="47">
        <f t="shared" ca="1" si="194"/>
        <v>34.371917950868912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628)</f>
        <v>628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174)</f>
        <v>174</v>
      </c>
      <c r="K783" s="47">
        <f t="shared" ca="1" si="194"/>
        <v>27.70700636942675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295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12239400)</f>
        <v>12239400</v>
      </c>
      <c r="K784" s="47">
        <f t="shared" ca="1" si="194"/>
        <v>56.769016697588128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41"/>
      <c r="B785" s="3"/>
      <c r="C785" s="3"/>
      <c r="D785" s="3"/>
      <c r="E785" s="1"/>
      <c r="F785" s="1"/>
      <c r="G785" s="53"/>
      <c r="H785" s="343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264)</f>
        <v>264</v>
      </c>
      <c r="K785" s="111">
        <f t="shared" ca="1" si="194"/>
        <v>34.285714285714285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457"/>
      <c r="B786" s="457"/>
      <c r="C786" s="457"/>
      <c r="D786" s="457"/>
      <c r="E786" s="166"/>
      <c r="F786" s="166"/>
      <c r="G786" s="166"/>
      <c r="H786" s="457"/>
      <c r="I786" s="458"/>
      <c r="J786" s="458"/>
      <c r="K786" s="459"/>
      <c r="L786" s="459"/>
      <c r="M786" s="459"/>
      <c r="N786" s="459"/>
      <c r="O786" s="459"/>
      <c r="P786" s="459"/>
      <c r="Q786" s="459"/>
      <c r="R786" s="459"/>
      <c r="S786" s="459"/>
      <c r="T786" s="459"/>
      <c r="U786" s="459"/>
    </row>
    <row r="787" spans="1:21" ht="16.5" x14ac:dyDescent="0.25">
      <c r="A787" s="460" t="s">
        <v>296</v>
      </c>
      <c r="B787" s="457"/>
      <c r="C787" s="457"/>
      <c r="D787" s="457"/>
      <c r="E787" s="166"/>
      <c r="F787" s="166"/>
      <c r="G787" s="166"/>
      <c r="H787" s="457"/>
      <c r="I787" s="458"/>
      <c r="J787" s="458"/>
      <c r="K787" s="459"/>
      <c r="L787" s="459"/>
      <c r="M787" s="459"/>
      <c r="N787" s="459"/>
      <c r="O787" s="459"/>
      <c r="P787" s="459"/>
      <c r="Q787" s="459"/>
      <c r="R787" s="459"/>
      <c r="S787" s="459"/>
      <c r="T787" s="459"/>
      <c r="U787" s="459"/>
    </row>
    <row r="788" spans="1:21" ht="16.5" x14ac:dyDescent="0.25">
      <c r="A788" s="460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457"/>
      <c r="C788" s="457"/>
      <c r="D788" s="457"/>
      <c r="E788" s="166"/>
      <c r="F788" s="166"/>
      <c r="G788" s="166"/>
      <c r="H788" s="457"/>
      <c r="I788" s="458"/>
      <c r="J788" s="458"/>
      <c r="K788" s="459"/>
      <c r="L788" s="459"/>
      <c r="M788" s="459"/>
      <c r="N788" s="459"/>
      <c r="O788" s="459"/>
      <c r="P788" s="459"/>
      <c r="Q788" s="459"/>
      <c r="R788" s="459"/>
      <c r="S788" s="459"/>
      <c r="T788" s="459"/>
      <c r="U788" s="459"/>
    </row>
    <row r="789" spans="1:21" ht="16.5" x14ac:dyDescent="0.25">
      <c r="A789" s="460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457"/>
      <c r="C789" s="457"/>
      <c r="D789" s="457"/>
      <c r="E789" s="166"/>
      <c r="F789" s="166"/>
      <c r="G789" s="166"/>
      <c r="H789" s="457"/>
      <c r="I789" s="458"/>
      <c r="J789" s="458"/>
      <c r="K789" s="459"/>
      <c r="L789" s="459"/>
      <c r="M789" s="459"/>
      <c r="N789" s="459"/>
      <c r="O789" s="459"/>
      <c r="P789" s="459"/>
      <c r="Q789" s="459"/>
      <c r="R789" s="459"/>
      <c r="S789" s="459"/>
      <c r="T789" s="459"/>
      <c r="U789" s="459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A3A84-627C-4E1B-AFC3-8C3733922B0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321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1064345</v>
      </c>
      <c r="M18" s="35">
        <f ca="1">M19+M20</f>
        <v>1099375</v>
      </c>
      <c r="N18" s="35">
        <f ca="1">N19+N20</f>
        <v>773131.54999999993</v>
      </c>
      <c r="O18" s="35">
        <f t="shared" ref="O18:O26" ca="1" si="0">IF(L18&gt;0,N18*100/L18,0)</f>
        <v>72.639186541957727</v>
      </c>
      <c r="P18" s="35">
        <f t="shared" ref="P18:P26" ca="1" si="1">IF(M18&gt;0,N18*100/M18,0)</f>
        <v>70.32464354747016</v>
      </c>
      <c r="Q18" s="35">
        <f ca="1">Q19+Q20</f>
        <v>519907</v>
      </c>
      <c r="R18" s="35">
        <f ca="1">R19+R20</f>
        <v>519907</v>
      </c>
      <c r="S18" s="35">
        <f ca="1">S19+S20</f>
        <v>161320.65</v>
      </c>
      <c r="T18" s="35">
        <f t="shared" ref="T18:T26" ca="1" si="2">IF(Q18&gt;0,S18*100/Q18,0)</f>
        <v>31.028751295904843</v>
      </c>
      <c r="U18" s="35">
        <f t="shared" ref="U18:U26" ca="1" si="3">IF(R18&gt;0,S18*100/R18,0)</f>
        <v>31.028751295904843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1064345</v>
      </c>
      <c r="M20" s="39">
        <f t="shared" ca="1" si="4"/>
        <v>1099375</v>
      </c>
      <c r="N20" s="39">
        <f t="shared" ca="1" si="4"/>
        <v>773131.54999999993</v>
      </c>
      <c r="O20" s="39">
        <f t="shared" ca="1" si="0"/>
        <v>72.639186541957727</v>
      </c>
      <c r="P20" s="39">
        <f t="shared" ca="1" si="1"/>
        <v>70.32464354747016</v>
      </c>
      <c r="Q20" s="39">
        <f t="shared" ca="1" si="5"/>
        <v>519907</v>
      </c>
      <c r="R20" s="39">
        <f t="shared" ca="1" si="5"/>
        <v>519907</v>
      </c>
      <c r="S20" s="39">
        <f t="shared" ca="1" si="5"/>
        <v>161320.65</v>
      </c>
      <c r="T20" s="39">
        <f t="shared" ca="1" si="2"/>
        <v>31.028751295904843</v>
      </c>
      <c r="U20" s="39">
        <f t="shared" ca="1" si="3"/>
        <v>31.028751295904843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1064345</v>
      </c>
      <c r="M21" s="47">
        <f ca="1">M22+M23</f>
        <v>1099375</v>
      </c>
      <c r="N21" s="47">
        <f ca="1">N22+N23</f>
        <v>773131.54999999993</v>
      </c>
      <c r="O21" s="47">
        <f t="shared" ca="1" si="0"/>
        <v>72.639186541957727</v>
      </c>
      <c r="P21" s="47">
        <f t="shared" ca="1" si="1"/>
        <v>70.32464354747016</v>
      </c>
      <c r="Q21" s="47">
        <f ca="1">Q22+Q23</f>
        <v>519907</v>
      </c>
      <c r="R21" s="47">
        <f ca="1">R22+R23</f>
        <v>519907</v>
      </c>
      <c r="S21" s="47">
        <f ca="1">S22+S23</f>
        <v>161320.65</v>
      </c>
      <c r="T21" s="47">
        <f t="shared" ca="1" si="2"/>
        <v>31.028751295904843</v>
      </c>
      <c r="U21" s="47">
        <f t="shared" ca="1" si="3"/>
        <v>31.028751295904843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1064345</v>
      </c>
      <c r="M23" s="47">
        <f t="shared" ca="1" si="6"/>
        <v>1099375</v>
      </c>
      <c r="N23" s="47">
        <f t="shared" ca="1" si="6"/>
        <v>773131.54999999993</v>
      </c>
      <c r="O23" s="47">
        <f t="shared" ca="1" si="0"/>
        <v>72.639186541957727</v>
      </c>
      <c r="P23" s="47">
        <f t="shared" ca="1" si="1"/>
        <v>70.32464354747016</v>
      </c>
      <c r="Q23" s="47">
        <f t="shared" ca="1" si="7"/>
        <v>519907</v>
      </c>
      <c r="R23" s="47">
        <f t="shared" ca="1" si="7"/>
        <v>519907</v>
      </c>
      <c r="S23" s="47">
        <f t="shared" ca="1" si="7"/>
        <v>161320.65</v>
      </c>
      <c r="T23" s="47">
        <f t="shared" ca="1" si="2"/>
        <v>31.028751295904843</v>
      </c>
      <c r="U23" s="47">
        <f t="shared" ca="1" si="3"/>
        <v>31.028751295904843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1064345</v>
      </c>
      <c r="M40" s="703">
        <f ca="1">M44+M59+M72+M94+M125+M139+M157+M173+M186+M266+M282+M303+M320+M333+M356</f>
        <v>1099375</v>
      </c>
      <c r="N40" s="703">
        <f ca="1">N44+N59+N72+N94+N125+N139+N157+N173+N186+N266+N282+N303+N320+N333+N356</f>
        <v>773131.54999999993</v>
      </c>
      <c r="O40" s="703">
        <f ca="1">IF(L40&gt;0,N40*100/L40,0)</f>
        <v>72.639186541957727</v>
      </c>
      <c r="P40" s="703">
        <f ca="1">IF(M40&gt;0,N40*100/M40,0)</f>
        <v>70.32464354747016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129800</v>
      </c>
      <c r="M44" s="79">
        <f ca="1">M45+M46</f>
        <v>137360</v>
      </c>
      <c r="N44" s="79">
        <f ca="1">N45+N46</f>
        <v>42495.48</v>
      </c>
      <c r="O44" s="79">
        <f t="shared" ref="O44:O52" ca="1" si="10">IF(L44&gt;0,N44*100/L44,0)</f>
        <v>32.739198767334358</v>
      </c>
      <c r="P44" s="79">
        <f t="shared" ref="P44:P52" ca="1" si="11">IF(M44&gt;0,N44*100/M44,0)</f>
        <v>30.937303436225974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129800</v>
      </c>
      <c r="M46" s="83">
        <f t="shared" ca="1" si="14"/>
        <v>137360</v>
      </c>
      <c r="N46" s="83">
        <f t="shared" ca="1" si="14"/>
        <v>42495.48</v>
      </c>
      <c r="O46" s="83">
        <f t="shared" ca="1" si="10"/>
        <v>32.739198767334358</v>
      </c>
      <c r="P46" s="83">
        <f t="shared" ca="1" si="11"/>
        <v>30.937303436225974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129800</v>
      </c>
      <c r="M47" s="47">
        <f ca="1">M48+M49</f>
        <v>137360</v>
      </c>
      <c r="N47" s="47">
        <f ca="1">N48+N49</f>
        <v>42495.48</v>
      </c>
      <c r="O47" s="47">
        <f t="shared" ca="1" si="10"/>
        <v>32.739198767334358</v>
      </c>
      <c r="P47" s="47">
        <f t="shared" ca="1" si="11"/>
        <v>30.937303436225974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IFERROR(__xludf.DUMMYFUNCTION("IMPORTRANGE(""https://docs.google.com/spreadsheets/d/1-uDff_7J0KD5mKrp0Vvzr7lt3OU09vwQwhkpOPPYv2Y/edit?usp=sharing"",""งบพรบ!P83"")"),129800)</f>
        <v>129800</v>
      </c>
      <c r="M49" s="47">
        <f ca="1">IFERROR(__xludf.DUMMYFUNCTION("IMPORTRANGE(""https://docs.google.com/spreadsheets/d/1-uDff_7J0KD5mKrp0Vvzr7lt3OU09vwQwhkpOPPYv2Y/edit?usp=sharing"",""งบพรบ!V83"")"),137360)</f>
        <v>137360</v>
      </c>
      <c r="N49" s="47">
        <f ca="1">IFERROR(__xludf.DUMMYFUNCTION("IMPORTRANGE(""https://docs.google.com/spreadsheets/d/1-uDff_7J0KD5mKrp0Vvzr7lt3OU09vwQwhkpOPPYv2Y/edit?usp=sharing"",""งบพรบ!Y83"")"),42495.48)</f>
        <v>42495.48</v>
      </c>
      <c r="O49" s="47">
        <f t="shared" ca="1" si="10"/>
        <v>32.739198767334358</v>
      </c>
      <c r="P49" s="47">
        <f t="shared" ca="1" si="11"/>
        <v>30.937303436225974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412000</v>
      </c>
      <c r="M59" s="106">
        <f ca="1">M60+M61</f>
        <v>412000</v>
      </c>
      <c r="N59" s="106">
        <f ca="1">N60+N61</f>
        <v>339170.11</v>
      </c>
      <c r="O59" s="106">
        <f t="shared" ref="O59:O67" ca="1" si="16">IF(L59&gt;0,N59*100/L59,0)</f>
        <v>82.322842233009709</v>
      </c>
      <c r="P59" s="106">
        <f t="shared" ref="P59:P67" ca="1" si="17">IF(M59&gt;0,N59*100/M59,0)</f>
        <v>82.322842233009709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412000</v>
      </c>
      <c r="M61" s="109">
        <f t="shared" ca="1" si="20"/>
        <v>412000</v>
      </c>
      <c r="N61" s="109">
        <f t="shared" ca="1" si="20"/>
        <v>339170.11</v>
      </c>
      <c r="O61" s="109">
        <f t="shared" ca="1" si="16"/>
        <v>82.322842233009709</v>
      </c>
      <c r="P61" s="109">
        <f t="shared" ca="1" si="17"/>
        <v>82.322842233009709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412000</v>
      </c>
      <c r="M62" s="47">
        <f ca="1">M63+M64</f>
        <v>412000</v>
      </c>
      <c r="N62" s="47">
        <f ca="1">N63+N64</f>
        <v>339170.11</v>
      </c>
      <c r="O62" s="47">
        <f t="shared" ca="1" si="16"/>
        <v>82.322842233009709</v>
      </c>
      <c r="P62" s="47">
        <f t="shared" ca="1" si="17"/>
        <v>82.322842233009709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IFERROR(__xludf.DUMMYFUNCTION("IMPORTRANGE(""https://docs.google.com/spreadsheets/d/1-uDff_7J0KD5mKrp0Vvzr7lt3OU09vwQwhkpOPPYv2Y/edit?usp=sharing"",""งบพรบ!AC83"")"),412000)</f>
        <v>412000</v>
      </c>
      <c r="M64" s="47">
        <f ca="1">IFERROR(__xludf.DUMMYFUNCTION("IMPORTRANGE(""https://docs.google.com/spreadsheets/d/1-uDff_7J0KD5mKrp0Vvzr7lt3OU09vwQwhkpOPPYv2Y/edit?usp=sharing"",""งบพรบ!AH83"")"),412000)</f>
        <v>412000</v>
      </c>
      <c r="N64" s="47">
        <f ca="1">IFERROR(__xludf.DUMMYFUNCTION("IMPORTRANGE(""https://docs.google.com/spreadsheets/d/1-uDff_7J0KD5mKrp0Vvzr7lt3OU09vwQwhkpOPPYv2Y/edit?usp=sharing"",""งบพรบ!AJ83"")"),339170.11)</f>
        <v>339170.11</v>
      </c>
      <c r="O64" s="47">
        <f t="shared" ca="1" si="16"/>
        <v>82.322842233009709</v>
      </c>
      <c r="P64" s="47">
        <f t="shared" ca="1" si="17"/>
        <v>82.322842233009709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IFERROR(__xludf.DUMMYFUNCTION("IMPORTRANGE(""https://docs.google.com/spreadsheets/d/1-uDff_7J0KD5mKrp0Vvzr7lt3OU09vwQwhkpOPPYv2Y/edit?usp=sharing"",""งบพรบ!AF83"")"),0)</f>
        <v>0</v>
      </c>
      <c r="M67" s="111">
        <f ca="1">IFERROR(__xludf.DUMMYFUNCTION("IMPORTRANGE(""https://docs.google.com/spreadsheets/d/1-uDff_7J0KD5mKrp0Vvzr7lt3OU09vwQwhkpOPPYv2Y/edit?usp=sharing"",""งบพรบ!AI83"")"),0)</f>
        <v>0</v>
      </c>
      <c r="N67" s="111">
        <f ca="1">IFERROR(__xludf.DUMMYFUNCTION("IMPORTRANGE(""https://docs.google.com/spreadsheets/d/1-uDff_7J0KD5mKrp0Vvzr7lt3OU09vwQwhkpOPPYv2Y/edit?usp=sharing"",""งบพรบ!AK83"")"),0)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IFERROR(__xludf.DUMMYFUNCTION("IMPORTRANGE(""https://docs.google.com/spreadsheets/d/1ItG2mGa2ceCfYo0BwxsXqNm01IGEUdYcSSLTEv9YCik/edit?usp=sharing"",""เบิกจ่ายกองทุน!AS83"")"),0)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IFERROR(__xludf.DUMMYFUNCTION("IMPORTRANGE(""https://docs.google.com/spreadsheets/d/1ItG2mGa2ceCfYo0BwxsXqNm01IGEUdYcSSLTEv9YCik/edit?usp=sharing"",""เบิกจ่ายกองทุน!AT83"")"),0)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IFERROR(__xludf.DUMMYFUNCTION("IMPORTRANGE(""https://docs.google.com/spreadsheets/d/1ItG2mGa2ceCfYo0BwxsXqNm01IGEUdYcSSLTEv9YCik/edit?usp=sharing"",""เบิกจ่ายกองทุน!AU83"")"),0)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IFERROR(__xludf.DUMMYFUNCTION("IMPORTRANGE(""https://docs.google.com/spreadsheets/d/1ItG2mGa2ceCfYo0BwxsXqNm01IGEUdYcSSLTEv9YCik/edit?usp=sharing"",""เบิกจ่ายกองทุน!AE83"")"),0)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IFERROR(__xludf.DUMMYFUNCTION("IMPORTRANGE(""https://docs.google.com/spreadsheets/d/1ItG2mGa2ceCfYo0BwxsXqNm01IGEUdYcSSLTEv9YCik/edit?usp=sharing"",""เบิกจ่ายกองทุน!AF83"")"),0)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91550.65</v>
      </c>
      <c r="T117" s="132">
        <f t="shared" ref="T117:T125" ca="1" si="37">IF(Q117&gt;0,S117*100/Q117,0)</f>
        <v>52.718328918576532</v>
      </c>
      <c r="U117" s="132">
        <f t="shared" ref="U117:U125" ca="1" si="38">IF(R117&gt;0,S117*100/R117,0)</f>
        <v>52.718328918576532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173660</v>
      </c>
      <c r="R119" s="47">
        <f t="shared" ca="1" si="40"/>
        <v>173660</v>
      </c>
      <c r="S119" s="47">
        <f t="shared" ca="1" si="40"/>
        <v>91550.65</v>
      </c>
      <c r="T119" s="47">
        <f t="shared" ca="1" si="37"/>
        <v>52.718328918576532</v>
      </c>
      <c r="U119" s="47">
        <f t="shared" ca="1" si="38"/>
        <v>52.718328918576532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91550.65</v>
      </c>
      <c r="T120" s="47">
        <f t="shared" ca="1" si="37"/>
        <v>52.718328918576532</v>
      </c>
      <c r="U120" s="47">
        <f t="shared" ca="1" si="38"/>
        <v>52.718328918576532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IFERROR(__xludf.DUMMYFUNCTION("IMPORTRANGE(""https://docs.google.com/spreadsheets/d/1ItG2mGa2ceCfYo0BwxsXqNm01IGEUdYcSSLTEv9YCik/edit?usp=sharing"",""เบิกจ่ายกองทุน!S83"")"),173660)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IFERROR(__xludf.DUMMYFUNCTION("IMPORTRANGE(""https://docs.google.com/spreadsheets/d/1ItG2mGa2ceCfYo0BwxsXqNm01IGEUdYcSSLTEv9YCik/edit?usp=sharing"",""เบิกจ่ายกองทุน!T83"")"),91550.65)</f>
        <v>91550.65</v>
      </c>
      <c r="T122" s="47">
        <f t="shared" ca="1" si="37"/>
        <v>52.718328918576532</v>
      </c>
      <c r="U122" s="47">
        <f t="shared" ca="1" si="38"/>
        <v>52.718328918576532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IFERROR(__xludf.DUMMYFUNCTION("IMPORTRANGE(""https://docs.google.com/spreadsheets/d/1eHaY18a8A9IcSdp1K8H6x8fbOy06t2VsZHhMHf-1x7Y/edit?usp=sharing"",""แผน!FG83"")"),0)</f>
        <v>0</v>
      </c>
      <c r="J128" s="167">
        <v>1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IFERROR(__xludf.DUMMYFUNCTION("IMPORTRANGE(""https://docs.google.com/spreadsheets/d/1eHaY18a8A9IcSdp1K8H6x8fbOy06t2VsZHhMHf-1x7Y/edit?usp=sharing"",""แผน!FI83"")"),0)</f>
        <v>0</v>
      </c>
      <c r="J130" s="167">
        <v>1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IFERROR(__xludf.DUMMYFUNCTION("IMPORTRANGE(""https://docs.google.com/spreadsheets/d/1ItG2mGa2ceCfYo0BwxsXqNm01IGEUdYcSSLTEv9YCik/edit?usp=sharing"",""เบิกจ่ายกองทุน!BD83"")"),0)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IFERROR(__xludf.DUMMYFUNCTION("IMPORTRANGE(""https://docs.google.com/spreadsheets/d/1ItG2mGa2ceCfYo0BwxsXqNm01IGEUdYcSSLTEv9YCik/edit?usp=sharing"",""เบิกจ่ายกองทุน!AI83"")"),0)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IFERROR(__xludf.DUMMYFUNCTION("IMPORTRANGE(""https://docs.google.com/spreadsheets/d/1eHaY18a8A9IcSdp1K8H6x8fbOy06t2VsZHhMHf-1x7Y/edit?usp=sharing"",""แผน!Z83"")"),0)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IFERROR(__xludf.DUMMYFUNCTION("IMPORTRANGE(""https://docs.google.com/spreadsheets/d/1eHaY18a8A9IcSdp1K8H6x8fbOy06t2VsZHhMHf-1x7Y/edit?usp=sharing"",""แผน!Z83"")"),0)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t="shared" ref="O173:O181" ca="1" si="53">IF(L173&gt;0,N173*100/L173,0)</f>
        <v>0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0</v>
      </c>
      <c r="M175" s="47">
        <f t="shared" ca="1" si="57"/>
        <v>17470</v>
      </c>
      <c r="N175" s="47">
        <f t="shared" ca="1" si="57"/>
        <v>17470</v>
      </c>
      <c r="O175" s="47">
        <f t="shared" ca="1" si="53"/>
        <v>0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t="shared" ca="1" si="53"/>
        <v>0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t="shared" ca="1" si="53"/>
        <v>0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IFERROR(__xludf.DUMMYFUNCTION("IMPORTRANGE(""https://docs.google.com/spreadsheets/d/1ItG2mGa2ceCfYo0BwxsXqNm01IGEUdYcSSLTEv9YCik/edit?usp=sharing"",""เบิกจ่ายกองทุน!BG83"")"),0)</f>
        <v>0</v>
      </c>
      <c r="T178" s="47">
        <f t="shared" ca="1" si="55"/>
        <v>0</v>
      </c>
      <c r="U178" s="47">
        <f t="shared" ca="1" si="56"/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hidden="1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80500</v>
      </c>
      <c r="M186" s="132">
        <f ca="1">M187+M188</f>
        <v>80500</v>
      </c>
      <c r="N186" s="132">
        <f ca="1">N187+N188</f>
        <v>27859</v>
      </c>
      <c r="O186" s="132">
        <f t="shared" ref="O186:O194" ca="1" si="59">IF(L186&gt;0,N186*100/L186,0)</f>
        <v>34.60745341614907</v>
      </c>
      <c r="P186" s="132">
        <f t="shared" ref="P186:P194" ca="1" si="60">IF(M186&gt;0,N186*100/M186,0)</f>
        <v>34.60745341614907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80500</v>
      </c>
      <c r="M188" s="47">
        <f t="shared" ca="1" si="63"/>
        <v>80500</v>
      </c>
      <c r="N188" s="47">
        <f t="shared" ca="1" si="63"/>
        <v>27859</v>
      </c>
      <c r="O188" s="47">
        <f t="shared" ca="1" si="59"/>
        <v>34.60745341614907</v>
      </c>
      <c r="P188" s="47">
        <f t="shared" ca="1" si="60"/>
        <v>34.60745341614907</v>
      </c>
      <c r="Q188" s="47">
        <f t="shared" ca="1" si="64"/>
        <v>0</v>
      </c>
      <c r="R188" s="47">
        <f t="shared" ca="1" si="64"/>
        <v>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80500</v>
      </c>
      <c r="M189" s="47">
        <f ca="1">M190+M191</f>
        <v>80500</v>
      </c>
      <c r="N189" s="47">
        <f ca="1">N190+N191</f>
        <v>27859</v>
      </c>
      <c r="O189" s="47">
        <f t="shared" ca="1" si="59"/>
        <v>34.60745341614907</v>
      </c>
      <c r="P189" s="47">
        <f t="shared" ca="1" si="60"/>
        <v>34.60745341614907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IFERROR(__xludf.DUMMYFUNCTION("IMPORTRANGE(""https://docs.google.com/spreadsheets/d/1-uDff_7J0KD5mKrp0Vvzr7lt3OU09vwQwhkpOPPYv2Y/edit?usp=sharing"",""งบพรบ!CZ83"")"),80500)</f>
        <v>80500</v>
      </c>
      <c r="N191" s="47">
        <f ca="1">IFERROR(__xludf.DUMMYFUNCTION("IMPORTRANGE(""https://docs.google.com/spreadsheets/d/1-uDff_7J0KD5mKrp0Vvzr7lt3OU09vwQwhkpOPPYv2Y/edit?usp=sharing"",""งบพรบ!DB83"")"),27859)</f>
        <v>27859</v>
      </c>
      <c r="O191" s="47">
        <f t="shared" ca="1" si="59"/>
        <v>34.60745341614907</v>
      </c>
      <c r="P191" s="47">
        <f t="shared" ca="1" si="60"/>
        <v>34.60745341614907</v>
      </c>
      <c r="Q191" s="47">
        <f ca="1">IFERROR(__xludf.DUMMYFUNCTION("IMPORTRANGE(""https://docs.google.com/spreadsheets/d/1ItG2mGa2ceCfYo0BwxsXqNm01IGEUdYcSSLTEv9YCik/edit?usp=sharing"",""เบิกจ่ายกองทุน!AV83"")"),0)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IFERROR(__xludf.DUMMYFUNCTION("IMPORTRANGE(""https://docs.google.com/spreadsheets/d/1ItG2mGa2ceCfYo0BwxsXqNm01IGEUdYcSSLTEv9YCik/edit?usp=sharing"",""เบิกจ่ายกองทุน!AW83"")"),0)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IFERROR(__xludf.DUMMYFUNCTION("IMPORTRANGE(""https://docs.google.com/spreadsheets/d/1ItG2mGa2ceCfYo0BwxsXqNm01IGEUdYcSSLTEv9YCik/edit?usp=sharing"",""เบิกจ่ายกองทุน!AX83"")"),0)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672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hidden="1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IFERROR(__xludf.DUMMYFUNCTION("IMPORTRANGE(""https://docs.google.com/spreadsheets/d/1eHaY18a8A9IcSdp1K8H6x8fbOy06t2VsZHhMHf-1x7Y/edit?usp=sharing"",""แผน!AG83"")"),0)</f>
        <v>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IFERROR(__xludf.DUMMYFUNCTION("IMPORTRANGE(""https://docs.google.com/spreadsheets/d/1eHaY18a8A9IcSdp1K8H6x8fbOy06t2VsZHhMHf-1x7Y/edit?usp=sharing"",""แผน!AH83"")"),0)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IFERROR(__xludf.DUMMYFUNCTION("IMPORTRANGE(""https://docs.google.com/spreadsheets/d/1eHaY18a8A9IcSdp1K8H6x8fbOy06t2VsZHhMHf-1x7Y/edit?usp=sharing"",""แผน!AI83"")"),0)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IFERROR(__xludf.DUMMYFUNCTION("IMPORTRANGE(""https://docs.google.com/spreadsheets/d/1eHaY18a8A9IcSdp1K8H6x8fbOy06t2VsZHhMHf-1x7Y/edit?usp=sharing"",""แผน!LV83"")"),0)</f>
        <v>0</v>
      </c>
      <c r="R206" s="46"/>
      <c r="S206" s="646">
        <v>0</v>
      </c>
      <c r="T206" s="136"/>
      <c r="U206" s="46"/>
    </row>
    <row r="207" spans="1:21" ht="18.75" hidden="1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IFERROR(__xludf.DUMMYFUNCTION("IMPORTRANGE(""https://docs.google.com/spreadsheets/d/1eHaY18a8A9IcSdp1K8H6x8fbOy06t2VsZHhMHf-1x7Y/edit?usp=sharing"",""แผน!AJ83"")"),0)</f>
        <v>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IFERROR(__xludf.DUMMYFUNCTION("IMPORTRANGE(""https://docs.google.com/spreadsheets/d/1eHaY18a8A9IcSdp1K8H6x8fbOy06t2VsZHhMHf-1x7Y/edit?usp=sharing"",""แผน!AM83"")"),0)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IFERROR(__xludf.DUMMYFUNCTION("IMPORTRANGE(""https://docs.google.com/spreadsheets/d/1eHaY18a8A9IcSdp1K8H6x8fbOy06t2VsZHhMHf-1x7Y/edit?usp=sharing"",""แผน!AN83"")"),0)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IFERROR(__xludf.DUMMYFUNCTION("IMPORTRANGE(""https://docs.google.com/spreadsheets/d/1eHaY18a8A9IcSdp1K8H6x8fbOy06t2VsZHhMHf-1x7Y/edit?usp=sharing"",""แผน!AO83"")"),0)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IFERROR(__xludf.DUMMYFUNCTION("IMPORTRANGE(""https://docs.google.com/spreadsheets/d/1eHaY18a8A9IcSdp1K8H6x8fbOy06t2VsZHhMHf-1x7Y/edit?usp=sharing"",""แผน!LY83"")"),0)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hidden="1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hidden="1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IFERROR(__xludf.DUMMYFUNCTION("IMPORTRANGE(""https://docs.google.com/spreadsheets/d/1eHaY18a8A9IcSdp1K8H6x8fbOy06t2VsZHhMHf-1x7Y/edit?usp=sharing"",""แผน!AR83"")"),0)</f>
        <v>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hidden="1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IFERROR(__xludf.DUMMYFUNCTION("IMPORTRANGE(""https://docs.google.com/spreadsheets/d/1eHaY18a8A9IcSdp1K8H6x8fbOy06t2VsZHhMHf-1x7Y/edit?usp=sharing"",""แผน!AS83"")"),0)</f>
        <v>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IFERROR(__xludf.DUMMYFUNCTION("IMPORTRANGE(""https://docs.google.com/spreadsheets/d/1eHaY18a8A9IcSdp1K8H6x8fbOy06t2VsZHhMHf-1x7Y/edit?usp=sharing"",""แผน!AT83"")"),0)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hidden="1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hidden="1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IFERROR(__xludf.DUMMYFUNCTION("IMPORTRANGE(""https://docs.google.com/spreadsheets/d/1eHaY18a8A9IcSdp1K8H6x8fbOy06t2VsZHhMHf-1x7Y/edit?usp=sharing"",""แผน!AX83"")"),0)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IFERROR(__xludf.DUMMYFUNCTION("IMPORTRANGE(""https://docs.google.com/spreadsheets/d/1eHaY18a8A9IcSdp1K8H6x8fbOy06t2VsZHhMHf-1x7Y/edit?usp=sharing"",""แผน!AY83"")"),0)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IFERROR(__xludf.DUMMYFUNCTION("IMPORTRANGE(""https://docs.google.com/spreadsheets/d/1eHaY18a8A9IcSdp1K8H6x8fbOy06t2VsZHhMHf-1x7Y/edit?usp=sharing"",""แผน!AZ83"")"),0)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IFERROR(__xludf.DUMMYFUNCTION("IMPORTRANGE(""https://docs.google.com/spreadsheets/d/1eHaY18a8A9IcSdp1K8H6x8fbOy06t2VsZHhMHf-1x7Y/edit?usp=sharing"",""แผน!BA83"")"),0)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IFERROR(__xludf.DUMMYFUNCTION("IMPORTRANGE(""https://docs.google.com/spreadsheets/d/1eHaY18a8A9IcSdp1K8H6x8fbOy06t2VsZHhMHf-1x7Y/edit?usp=sharing"",""แผน!BG83"")"),0)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IFERROR(__xludf.DUMMYFUNCTION("IMPORTRANGE(""https://docs.google.com/spreadsheets/d/1eHaY18a8A9IcSdp1K8H6x8fbOy06t2VsZHhMHf-1x7Y/edit?usp=sharing"",""แผน!BB83"")"),0)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IFERROR(__xludf.DUMMYFUNCTION("IMPORTRANGE(""https://docs.google.com/spreadsheets/d/1eHaY18a8A9IcSdp1K8H6x8fbOy06t2VsZHhMHf-1x7Y/edit?usp=sharing"",""แผน!BC83"")"),0)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IFERROR(__xludf.DUMMYFUNCTION("IMPORTRANGE(""https://docs.google.com/spreadsheets/d/1eHaY18a8A9IcSdp1K8H6x8fbOy06t2VsZHhMHf-1x7Y/edit?usp=sharing"",""แผน!BD83"")"),0)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IFERROR(__xludf.DUMMYFUNCTION("IMPORTRANGE(""https://docs.google.com/spreadsheets/d/1eHaY18a8A9IcSdp1K8H6x8fbOy06t2VsZHhMHf-1x7Y/edit?usp=sharing"",""แผน!BE83"")"),0)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IFERROR(__xludf.DUMMYFUNCTION("IMPORTRANGE(""https://docs.google.com/spreadsheets/d/1eHaY18a8A9IcSdp1K8H6x8fbOy06t2VsZHhMHf-1x7Y/edit?usp=sharing"",""แผน!BH83"")"),0)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IFERROR(__xludf.DUMMYFUNCTION("IMPORTRANGE(""https://docs.google.com/spreadsheets/d/1-uDff_7J0KD5mKrp0Vvzr7lt3OU09vwQwhkpOPPYv2Y/edit?usp=sharing"",""งบพรบ!DE83"")"),0)</f>
        <v>0</v>
      </c>
      <c r="M271" s="482">
        <f ca="1">IFERROR(__xludf.DUMMYFUNCTION("IMPORTRANGE(""https://docs.google.com/spreadsheets/d/1-uDff_7J0KD5mKrp0Vvzr7lt3OU09vwQwhkpOPPYv2Y/edit?usp=sharing"",""งบพรบ!DJ83"")"),5000)</f>
        <v>5000</v>
      </c>
      <c r="N271" s="482">
        <f ca="1">IFERROR(__xludf.DUMMYFUNCTION("IMPORTRANGE(""https://docs.google.com/spreadsheets/d/1-uDff_7J0KD5mKrp0Vvzr7lt3OU09vwQwhkpOPPYv2Y/edit?usp=sharing"",""งบพรบ!DL83"")"),0)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IFERROR(__xludf.DUMMYFUNCTION("IMPORTRANGE(""https://docs.google.com/spreadsheets/d/1ItG2mGa2ceCfYo0BwxsXqNm01IGEUdYcSSLTEv9YCik/edit?usp=sharing"",""เบิกจ่ายกองทุน!AJ83"")"),50660)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IFERROR(__xludf.DUMMYFUNCTION("IMPORTRANGE(""https://docs.google.com/spreadsheets/d/1ItG2mGa2ceCfYo0BwxsXqNm01IGEUdYcSSLTEv9YCik/edit?usp=sharing"",""เบิกจ่ายกองทุน!AK83"")"),50660)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IFERROR(__xludf.DUMMYFUNCTION("IMPORTRANGE(""https://docs.google.com/spreadsheets/d/1ItG2mGa2ceCfYo0BwxsXqNm01IGEUdYcSSLTEv9YCik/edit?usp=sharing"",""เบิกจ่ายกองทุน!AL83"")"),0)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IFERROR(__xludf.DUMMYFUNCTION("IMPORTRANGE(""https://docs.google.com/spreadsheets/d/1-uDff_7J0KD5mKrp0Vvzr7lt3OU09vwQwhkpOPPYv2Y/edit?usp=sharing"",""งบพรบ!DH83"")"),0)</f>
        <v>0</v>
      </c>
      <c r="M274" s="482">
        <f ca="1">IFERROR(__xludf.DUMMYFUNCTION("IMPORTRANGE(""https://docs.google.com/spreadsheets/d/1-uDff_7J0KD5mKrp0Vvzr7lt3OU09vwQwhkpOPPYv2Y/edit?usp=sharing"",""งบพรบ!DK83"")"),0)</f>
        <v>0</v>
      </c>
      <c r="N274" s="482">
        <f ca="1">IFERROR(__xludf.DUMMYFUNCTION("IMPORTRANGE(""https://docs.google.com/spreadsheets/d/1-uDff_7J0KD5mKrp0Vvzr7lt3OU09vwQwhkpOPPYv2Y/edit?usp=sharing"",""งบพรบ!DM83"")"),0)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IFERROR(__xludf.DUMMYFUNCTION("IMPORTRANGE(""https://docs.google.com/spreadsheets/d/1eHaY18a8A9IcSdp1K8H6x8fbOy06t2VsZHhMHf-1x7Y/edit?usp=sharing"",""แผน!EC83"")"),22)</f>
        <v>22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0</v>
      </c>
      <c r="R305" s="47">
        <f t="shared" ca="1" si="82"/>
        <v>0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IFERROR(__xludf.DUMMYFUNCTION("IMPORTRANGE(""https://docs.google.com/spreadsheets/d/1ItG2mGa2ceCfYo0BwxsXqNm01IGEUdYcSSLTEv9YCik/edit?usp=sharing"",""เบิกจ่ายกองทุน!AQ83"")"),0)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IFERROR(__xludf.DUMMYFUNCTION("IMPORTRANGE(""https://docs.google.com/spreadsheets/d/1ItG2mGa2ceCfYo0BwxsXqNm01IGEUdYcSSLTEv9YCik/edit?usp=sharing"",""เบิกจ่ายกองทุน!AR83"")"),0)</f>
        <v>0</v>
      </c>
      <c r="T308" s="47">
        <f t="shared" ca="1" si="79"/>
        <v>0</v>
      </c>
      <c r="U308" s="47">
        <f t="shared" ca="1" si="80"/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hidden="1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120</v>
      </c>
      <c r="J332" s="596">
        <f ca="1">J344+J347+J348+J349+J353</f>
        <v>371</v>
      </c>
      <c r="K332" s="595">
        <f ca="1">IF(I332&gt;0,J332*100/I332,0)</f>
        <v>309.16666666666669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216600</v>
      </c>
      <c r="M333" s="132">
        <f ca="1">M334+M335</f>
        <v>221600</v>
      </c>
      <c r="N333" s="132">
        <f ca="1">N334+N335</f>
        <v>177896.95999999999</v>
      </c>
      <c r="O333" s="132">
        <f t="shared" ref="O333:O341" ca="1" si="89">IF(L333&gt;0,N333*100/L333,0)</f>
        <v>82.131560480147741</v>
      </c>
      <c r="P333" s="132">
        <f t="shared" ref="P333:P341" ca="1" si="90">IF(M333&gt;0,N333*100/M333,0)</f>
        <v>80.278411552346569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216600</v>
      </c>
      <c r="M335" s="47">
        <f t="shared" ca="1" si="93"/>
        <v>221600</v>
      </c>
      <c r="N335" s="47">
        <f t="shared" ca="1" si="93"/>
        <v>177896.95999999999</v>
      </c>
      <c r="O335" s="47">
        <f t="shared" ca="1" si="89"/>
        <v>82.131560480147741</v>
      </c>
      <c r="P335" s="47">
        <f t="shared" ca="1" si="90"/>
        <v>80.278411552346569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216600</v>
      </c>
      <c r="M336" s="47">
        <f ca="1">M337+M338</f>
        <v>221600</v>
      </c>
      <c r="N336" s="47">
        <f ca="1">N337+N338</f>
        <v>177896.95999999999</v>
      </c>
      <c r="O336" s="47">
        <f t="shared" ca="1" si="89"/>
        <v>82.131560480147741</v>
      </c>
      <c r="P336" s="47">
        <f t="shared" ca="1" si="90"/>
        <v>80.278411552346569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IFERROR(__xludf.DUMMYFUNCTION("IMPORTRANGE(""https://docs.google.com/spreadsheets/d/1-uDff_7J0KD5mKrp0Vvzr7lt3OU09vwQwhkpOPPYv2Y/edit?usp=sharing"",""งบพรบ!ES83"")"),216600)</f>
        <v>216600</v>
      </c>
      <c r="M338" s="47">
        <f ca="1">IFERROR(__xludf.DUMMYFUNCTION("IMPORTRANGE(""https://docs.google.com/spreadsheets/d/1-uDff_7J0KD5mKrp0Vvzr7lt3OU09vwQwhkpOPPYv2Y/edit?usp=sharing"",""งบพรบ!EX83"")"),221600)</f>
        <v>221600</v>
      </c>
      <c r="N338" s="47">
        <f ca="1">IFERROR(__xludf.DUMMYFUNCTION("IMPORTRANGE(""https://docs.google.com/spreadsheets/d/1-uDff_7J0KD5mKrp0Vvzr7lt3OU09vwQwhkpOPPYv2Y/edit?usp=sharing"",""งบพรบ!EZ83"")"),177896.96)</f>
        <v>177896.95999999999</v>
      </c>
      <c r="O338" s="47">
        <f t="shared" ca="1" si="89"/>
        <v>82.131560480147741</v>
      </c>
      <c r="P338" s="47">
        <f t="shared" ca="1" si="90"/>
        <v>80.278411552346569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145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IFERROR(__xludf.DUMMYFUNCTION("IMPORTRANGE(""https://docs.google.com/spreadsheets/d/1awYsYK3VOup2i3Pq_Yjnu8DRu_mYwSBnCR2QPthd0rU/edit?usp=sharing"",""ศูนย์ยกเว้นโฉนด!D83"")"),145)</f>
        <v>145</v>
      </c>
      <c r="K344" s="47">
        <f ca="1">IF(I344&gt;0,J344*100/I344,0)</f>
        <v>120.83333333333333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250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IFERROR(__xludf.DUMMYFUNCTION("IMPORTRANGE(""https://docs.google.com/spreadsheets/d/1awYsYK3VOup2i3Pq_Yjnu8DRu_mYwSBnCR2QPthd0rU/edit?usp=sharing"",""โฉนดM3!G83"")"),24)</f>
        <v>24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IFERROR(__xludf.DUMMYFUNCTION("IMPORTRANGE(""https://docs.google.com/spreadsheets/d/1awYsYK3VOup2i3Pq_Yjnu8DRu_mYwSBnCR2QPthd0rU/edit?usp=sharing"",""โฉนดM3!H83"")"),226)</f>
        <v>226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225445</v>
      </c>
      <c r="M356" s="132">
        <f ca="1">M357+M358</f>
        <v>225445</v>
      </c>
      <c r="N356" s="132">
        <f ca="1">N357+N358</f>
        <v>168240</v>
      </c>
      <c r="O356" s="132">
        <f t="shared" ref="O356:O364" ca="1" si="95">IF(L356&gt;0,N356*100/L356,0)</f>
        <v>74.62574020271019</v>
      </c>
      <c r="P356" s="132">
        <f t="shared" ref="P356:P364" ca="1" si="96">IF(M356&gt;0,N356*100/M356,0)</f>
        <v>74.62574020271019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225445</v>
      </c>
      <c r="M358" s="47">
        <f t="shared" ca="1" si="99"/>
        <v>225445</v>
      </c>
      <c r="N358" s="47">
        <f t="shared" ca="1" si="99"/>
        <v>168240</v>
      </c>
      <c r="O358" s="47">
        <f t="shared" ca="1" si="95"/>
        <v>74.62574020271019</v>
      </c>
      <c r="P358" s="47">
        <f t="shared" ca="1" si="96"/>
        <v>74.62574020271019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225445</v>
      </c>
      <c r="M359" s="47">
        <f ca="1">M360+M361</f>
        <v>225445</v>
      </c>
      <c r="N359" s="47">
        <f ca="1">N360+N361</f>
        <v>168240</v>
      </c>
      <c r="O359" s="47">
        <f t="shared" ca="1" si="95"/>
        <v>74.62574020271019</v>
      </c>
      <c r="P359" s="47">
        <f t="shared" ca="1" si="96"/>
        <v>74.62574020271019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IFERROR(__xludf.DUMMYFUNCTION("IMPORTRANGE(""https://docs.google.com/spreadsheets/d/1-uDff_7J0KD5mKrp0Vvzr7lt3OU09vwQwhkpOPPYv2Y/edit?usp=sharing"",""งบพรบ!FC83"")"),225445)</f>
        <v>225445</v>
      </c>
      <c r="M361" s="47">
        <f ca="1">IFERROR(__xludf.DUMMYFUNCTION("IMPORTRANGE(""https://docs.google.com/spreadsheets/d/1-uDff_7J0KD5mKrp0Vvzr7lt3OU09vwQwhkpOPPYv2Y/edit?usp=sharing"",""งบพรบ!FH83"")"),225445)</f>
        <v>225445</v>
      </c>
      <c r="N361" s="47">
        <f ca="1">IFERROR(__xludf.DUMMYFUNCTION("IMPORTRANGE(""https://docs.google.com/spreadsheets/d/1-uDff_7J0KD5mKrp0Vvzr7lt3OU09vwQwhkpOPPYv2Y/edit?usp=sharing"",""งบพรบ!FJ83"")"),168240)</f>
        <v>168240</v>
      </c>
      <c r="O361" s="47">
        <f t="shared" ca="1" si="95"/>
        <v>74.62574020271019</v>
      </c>
      <c r="P361" s="47">
        <f t="shared" ca="1" si="96"/>
        <v>74.62574020271019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31</v>
      </c>
      <c r="J365" s="228">
        <f ca="1">J371</f>
        <v>35</v>
      </c>
      <c r="K365" s="229">
        <f ca="1">IF(I365&gt;0,J365*100/I365,0)</f>
        <v>112.90322580645162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IFERROR(__xludf.DUMMYFUNCTION("IMPORTRANGE(""https://docs.google.com/spreadsheets/d/1tdoBKaGub7dwA3U6UFTqxio9LNnvDCQjHKmttSEBsFQ/edit?usp=sharing"",""จัดที่ดิน!AB83"")"),21)</f>
        <v>21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IFERROR(__xludf.DUMMYFUNCTION("IMPORTRANGE(""https://docs.google.com/spreadsheets/d/1eHaY18a8A9IcSdp1K8H6x8fbOy06t2VsZHhMHf-1x7Y/edit?usp=sharing"",""แผน!EW83"")"),95)</f>
        <v>95</v>
      </c>
      <c r="J368" s="584">
        <f ca="1">IFERROR(__xludf.DUMMYFUNCTION("IMPORTRANGE(""https://docs.google.com/spreadsheets/d/1tdoBKaGub7dwA3U6UFTqxio9LNnvDCQjHKmttSEBsFQ/edit?usp=sharing"",""จัดที่ดิน!AC83"")"),76.5)</f>
        <v>76.5</v>
      </c>
      <c r="K368" s="47">
        <f t="shared" ca="1" si="101"/>
        <v>80.526315789473685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IFERROR(__xludf.DUMMYFUNCTION("IMPORTRANGE(""https://docs.google.com/spreadsheets/d/1eHaY18a8A9IcSdp1K8H6x8fbOy06t2VsZHhMHf-1x7Y/edit?usp=sharing"",""แผน!EX83"")"),31)</f>
        <v>31</v>
      </c>
      <c r="J369" s="152">
        <f ca="1">IFERROR(__xludf.DUMMYFUNCTION("IMPORTRANGE(""https://docs.google.com/spreadsheets/d/1tdoBKaGub7dwA3U6UFTqxio9LNnvDCQjHKmttSEBsFQ/edit?usp=sharing"",""จัดที่ดิน!AD83"")"),35)</f>
        <v>35</v>
      </c>
      <c r="K369" s="47">
        <f t="shared" ca="1" si="101"/>
        <v>112.90322580645162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IFERROR(__xludf.DUMMYFUNCTION("IMPORTRANGE(""https://docs.google.com/spreadsheets/d/1tdoBKaGub7dwA3U6UFTqxio9LNnvDCQjHKmttSEBsFQ/edit?usp=sharing"",""จัดที่ดิน!AE83"")"),258.35)</f>
        <v>258.35000000000002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IFERROR(__xludf.DUMMYFUNCTION("IMPORTRANGE(""https://docs.google.com/spreadsheets/d/1eHaY18a8A9IcSdp1K8H6x8fbOy06t2VsZHhMHf-1x7Y/edit?usp=sharing"",""แผน!EY83"")"),31)</f>
        <v>31</v>
      </c>
      <c r="J371" s="152">
        <f ca="1">IFERROR(__xludf.DUMMYFUNCTION("IMPORTRANGE(""https://docs.google.com/spreadsheets/d/1tdoBKaGub7dwA3U6UFTqxio9LNnvDCQjHKmttSEBsFQ/edit?usp=sharing"",""จัดที่ดิน!AF83"")"),35)</f>
        <v>35</v>
      </c>
      <c r="K371" s="47">
        <f t="shared" ca="1" si="101"/>
        <v>112.90322580645162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IFERROR(__xludf.DUMMYFUNCTION("IMPORTRANGE(""https://docs.google.com/spreadsheets/d/1tdoBKaGub7dwA3U6UFTqxio9LNnvDCQjHKmttSEBsFQ/edit?usp=sharing"",""จัดที่ดิน!AG83"")"),258.35)</f>
        <v>258.35000000000002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200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12500</v>
      </c>
      <c r="R377" s="47">
        <f t="shared" ca="1" si="107"/>
        <v>12500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12500</v>
      </c>
      <c r="R378" s="47">
        <f ca="1">R379+R380</f>
        <v>12500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IFERROR(__xludf.DUMMYFUNCTION("IMPORTRANGE(""https://docs.google.com/spreadsheets/d/1ItG2mGa2ceCfYo0BwxsXqNm01IGEUdYcSSLTEv9YCik/edit?usp=sharing"",""เบิกจ่ายกองทุน!AZ83"")"),12500)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IFERROR(__xludf.DUMMYFUNCTION("IMPORTRANGE(""https://docs.google.com/spreadsheets/d/1ItG2mGa2ceCfYo0BwxsXqNm01IGEUdYcSSLTEv9YCik/edit?usp=sharing"",""เบิกจ่ายกองทุน!BA83"")"),0)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IFERROR(__xludf.DUMMYFUNCTION("IMPORTRANGE(""https://docs.google.com/spreadsheets/d/1w5rwWK1o49a35cNtocGL0gxDwhFSTZUQu90BiH9_zqM/edit?usp=sharing"",""RTK!L83"")"),0)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IFERROR(__xludf.DUMMYFUNCTION("IMPORTRANGE(""https://docs.google.com/spreadsheets/d/1w5rwWK1o49a35cNtocGL0gxDwhFSTZUQu90BiH9_zqM/edit?usp=sharing"",""RTK!K83"")"),0)</f>
        <v>0</v>
      </c>
      <c r="J388" s="483">
        <f ca="1">IFERROR(__xludf.DUMMYFUNCTION("IMPORTRANGE(""https://docs.google.com/spreadsheets/d/1w5rwWK1o49a35cNtocGL0gxDwhFSTZUQu90BiH9_zqM/edit?usp=sharing"",""RTK!M83"")"),0)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IFERROR(__xludf.DUMMYFUNCTION("IMPORTRANGE(""https://docs.google.com/spreadsheets/d/1ItG2mGa2ceCfYo0BwxsXqNm01IGEUdYcSSLTEv9YCik/edit?usp=sharing"",""เบิกจ่ายกองทุน!BJ83"")"),0)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IFERROR(__xludf.DUMMYFUNCTION("IMPORTRANGE(""https://docs.google.com/spreadsheets/d/1eHaY18a8A9IcSdp1K8H6x8fbOy06t2VsZHhMHf-1x7Y/edit?usp=sharing"",""แผน!HN83"")"),0)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IFERROR(__xludf.DUMMYFUNCTION("IMPORTRANGE(""https://docs.google.com/spreadsheets/d/1eHaY18a8A9IcSdp1K8H6x8fbOy06t2VsZHhMHf-1x7Y/edit?usp=sharing"",""แผน!HO83"")"),0)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IFERROR(__xludf.DUMMYFUNCTION("IMPORTRANGE(""https://docs.google.com/spreadsheets/d/1ItG2mGa2ceCfYo0BwxsXqNm01IGEUdYcSSLTEv9YCik/edit?usp=sharing"",""เบิกจ่ายกองทุน!Z83"")"),0)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t="shared" ref="T616:T624" ca="1" si="159">IF(Q616&gt;0,S616*100/Q616,0)</f>
        <v>0</v>
      </c>
      <c r="U616" s="132">
        <f t="shared" ref="U616:U624" ca="1" si="160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1675</v>
      </c>
      <c r="R618" s="47">
        <f t="shared" ca="1" si="162"/>
        <v>1675</v>
      </c>
      <c r="S618" s="47">
        <f t="shared" ca="1" si="162"/>
        <v>0</v>
      </c>
      <c r="T618" s="47">
        <f t="shared" ca="1" si="159"/>
        <v>0</v>
      </c>
      <c r="U618" s="47">
        <f t="shared" ca="1" si="160"/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t="shared" ca="1" si="159"/>
        <v>0</v>
      </c>
      <c r="U619" s="47">
        <f t="shared" ca="1" si="160"/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t="shared" ca="1" si="159"/>
        <v>0</v>
      </c>
      <c r="U621" s="47">
        <f t="shared" ca="1" si="160"/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hidden="1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hidden="1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0</v>
      </c>
      <c r="R692" s="47">
        <f t="shared" ca="1" si="174"/>
        <v>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hidden="1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IFERROR(__xludf.DUMMYFUNCTION("IMPORTRANGE(""https://docs.google.com/spreadsheets/d/1eHaY18a8A9IcSdp1K8H6x8fbOy06t2VsZHhMHf-1x7Y/edit?usp=sharing"",""แผน!GA83"")"),11)</f>
        <v>11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IFERROR(__xludf.DUMMYFUNCTION("IMPORTRANGE(""https://docs.google.com/spreadsheets/d/1eHaY18a8A9IcSdp1K8H6x8fbOy06t2VsZHhMHf-1x7Y/edit?usp=sharing"",""แผน!FZ83"")"),100)</f>
        <v>100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2900</v>
      </c>
      <c r="T728" s="132">
        <f t="shared" ref="T728:T736" ca="1" si="184">IF(Q728&gt;0,S728*100/Q728,0)</f>
        <v>2.5920165889061688</v>
      </c>
      <c r="U728" s="132">
        <f t="shared" ref="U728:U736" ca="1" si="185">IF(R728&gt;0,S728*100/R728,0)</f>
        <v>2.5920165889061688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111882</v>
      </c>
      <c r="R730" s="47">
        <f t="shared" ca="1" si="187"/>
        <v>111882</v>
      </c>
      <c r="S730" s="47">
        <f t="shared" ca="1" si="187"/>
        <v>2900</v>
      </c>
      <c r="T730" s="47">
        <f t="shared" ca="1" si="184"/>
        <v>2.5920165889061688</v>
      </c>
      <c r="U730" s="47">
        <f t="shared" ca="1" si="185"/>
        <v>2.5920165889061688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2900</v>
      </c>
      <c r="T731" s="47">
        <f t="shared" ca="1" si="184"/>
        <v>2.5920165889061688</v>
      </c>
      <c r="U731" s="47">
        <f t="shared" ca="1" si="185"/>
        <v>2.5920165889061688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IFERROR(__xludf.DUMMYFUNCTION("IMPORTRANGE(""https://docs.google.com/spreadsheets/d/1ItG2mGa2ceCfYo0BwxsXqNm01IGEUdYcSSLTEv9YCik/edit?usp=sharing"",""เบิกจ่ายกองทุน!Q83"")"),2900)</f>
        <v>2900</v>
      </c>
      <c r="T733" s="47">
        <f t="shared" ca="1" si="184"/>
        <v>2.5920165889061688</v>
      </c>
      <c r="U733" s="47">
        <f t="shared" ca="1" si="185"/>
        <v>2.5920165889061688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IFERROR(__xludf.DUMMYFUNCTION("IMPORTRANGE(""https://docs.google.com/spreadsheets/d/1eHaY18a8A9IcSdp1K8H6x8fbOy06t2VsZHhMHf-1x7Y/edit?usp=sharing"",""แผน!GB83"")"),80)</f>
        <v>80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IFERROR(__xludf.DUMMYFUNCTION("IMPORTRANGE(""https://docs.google.com/spreadsheets/d/1eHaY18a8A9IcSdp1K8H6x8fbOy06t2VsZHhMHf-1x7Y/edit?usp=sharing"",""แผน!GC83"")"),8)</f>
        <v>8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IFERROR(__xludf.DUMMYFUNCTION("IMPORTRANGE(""https://docs.google.com/spreadsheets/d/1eHaY18a8A9IcSdp1K8H6x8fbOy06t2VsZHhMHf-1x7Y/edit?usp=sharing"",""แผน!GD83"")"),20)</f>
        <v>20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IFERROR(__xludf.DUMMYFUNCTION("IMPORTRANGE(""https://docs.google.com/spreadsheets/d/1eHaY18a8A9IcSdp1K8H6x8fbOy06t2VsZHhMHf-1x7Y/edit?usp=sharing"",""แผน!GE83"")"),2)</f>
        <v>2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IFERROR(__xludf.DUMMYFUNCTION("IMPORTRANGE(""https://docs.google.com/spreadsheets/d/1eHaY18a8A9IcSdp1K8H6x8fbOy06t2VsZHhMHf-1x7Y/edit?usp=sharing"",""แผน!GF83"")"),1)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IFERROR(__xludf.DUMMYFUNCTION("IMPORTRANGE(""https://docs.google.com/spreadsheets/d/1eHaY18a8A9IcSdp1K8H6x8fbOy06t2VsZHhMHf-1x7Y/edit?usp=sharing"",""แผน!GB83"")"),80)</f>
        <v>80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IFERROR(__xludf.DUMMYFUNCTION("IMPORTRANGE(""https://docs.google.com/spreadsheets/d/1eHaY18a8A9IcSdp1K8H6x8fbOy06t2VsZHhMHf-1x7Y/edit?usp=sharing"",""แผน!GD83"")"),20)</f>
        <v>20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25</v>
      </c>
      <c r="J758" s="433">
        <f>J772</f>
        <v>25</v>
      </c>
      <c r="K758" s="434">
        <f ca="1">IF(I758&gt;0,J758*100/I758,0)</f>
        <v>100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50</v>
      </c>
      <c r="J759" s="433">
        <f>J774</f>
        <v>50</v>
      </c>
      <c r="K759" s="434">
        <f ca="1">IF(I759&gt;0,J759*100/I759,0)</f>
        <v>100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66870</v>
      </c>
      <c r="T760" s="132">
        <f t="shared" ref="T760:T768" ca="1" si="190">IF(Q760&gt;0,S760*100/Q760,0)</f>
        <v>39.444346133427715</v>
      </c>
      <c r="U760" s="132">
        <f t="shared" ref="U760:U768" ca="1" si="191">IF(R760&gt;0,S760*100/R760,0)</f>
        <v>39.444346133427715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169530</v>
      </c>
      <c r="R762" s="47">
        <f t="shared" ca="1" si="193"/>
        <v>169530</v>
      </c>
      <c r="S762" s="47">
        <f t="shared" ca="1" si="193"/>
        <v>66870</v>
      </c>
      <c r="T762" s="47">
        <f t="shared" ca="1" si="190"/>
        <v>39.444346133427715</v>
      </c>
      <c r="U762" s="47">
        <f t="shared" ca="1" si="191"/>
        <v>39.444346133427715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66870</v>
      </c>
      <c r="T763" s="47">
        <f t="shared" ca="1" si="190"/>
        <v>39.444346133427715</v>
      </c>
      <c r="U763" s="47">
        <f t="shared" ca="1" si="191"/>
        <v>39.444346133427715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IFERROR(__xludf.DUMMYFUNCTION("IMPORTRANGE(""https://docs.google.com/spreadsheets/d/1ItG2mGa2ceCfYo0BwxsXqNm01IGEUdYcSSLTEv9YCik/edit?usp=sharing"",""เบิกจ่ายกองทุน!V83"")"),169530)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IFERROR(__xludf.DUMMYFUNCTION("IMPORTRANGE(""https://docs.google.com/spreadsheets/d/1ItG2mGa2ceCfYo0BwxsXqNm01IGEUdYcSSLTEv9YCik/edit?usp=sharing"",""เบิกจ่ายกองทุน!W83"")"),66870)</f>
        <v>66870</v>
      </c>
      <c r="T765" s="47">
        <f t="shared" ca="1" si="190"/>
        <v>39.444346133427715</v>
      </c>
      <c r="U765" s="47">
        <f t="shared" ca="1" si="191"/>
        <v>39.444346133427715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IFERROR(__xludf.DUMMYFUNCTION("IMPORTRANGE(""https://docs.google.com/spreadsheets/d/1eHaY18a8A9IcSdp1K8H6x8fbOy06t2VsZHhMHf-1x7Y/edit?usp=sharing"",""แผน!FI83"")"),0)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IFERROR(__xludf.DUMMYFUNCTION("IMPORTRANGE(""https://docs.google.com/spreadsheets/d/10OvvATaaLtwErnr3qtWFcTmtbfpFEt5Bsqel9sXx0uE/edit?usp=sharing"",""งานกองทุน!F83"")"),137364.88)</f>
        <v>137364.88</v>
      </c>
      <c r="K778" s="47">
        <f t="shared" ref="K778:K785" ca="1" si="194">IF(I778&gt;0,J778*100/I778,0)</f>
        <v>30.699210010626341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IFERROR(__xludf.DUMMYFUNCTION("IMPORTRANGE(""https://docs.google.com/spreadsheets/d/10OvvATaaLtwErnr3qtWFcTmtbfpFEt5Bsqel9sXx0uE/edit?usp=sharing"",""งานกองทุน!E83"")"),7)</f>
        <v>7</v>
      </c>
      <c r="K779" s="47">
        <f t="shared" ca="1" si="194"/>
        <v>25.925925925925927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IFERROR(__xludf.DUMMYFUNCTION("IMPORTRANGE(""https://docs.google.com/spreadsheets/d/10OvvATaaLtwErnr3qtWFcTmtbfpFEt5Bsqel9sXx0uE/edit?usp=sharing"",""งานกองทุน!K83"")"),78445.62)</f>
        <v>78445.62</v>
      </c>
      <c r="K780" s="47">
        <f t="shared" ca="1" si="194"/>
        <v>49.47649432559016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IFERROR(__xludf.DUMMYFUNCTION("IMPORTRANGE(""https://docs.google.com/spreadsheets/d/10OvvATaaLtwErnr3qtWFcTmtbfpFEt5Bsqel9sXx0uE/edit?usp=sharing"",""งานกองทุน!J83"")"),5)</f>
        <v>5</v>
      </c>
      <c r="K781" s="47">
        <f t="shared" ca="1" si="194"/>
        <v>71.428571428571431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t="shared" ca="1" si="194"/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t="shared" ca="1" si="194"/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EED3-EE3A-4AC5-8E32-88B1B613EDB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322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1180995</v>
      </c>
      <c r="M18" s="35">
        <f ca="1">M19+M20</f>
        <v>1237405</v>
      </c>
      <c r="N18" s="35">
        <f ca="1">N19+N20</f>
        <v>1022064.2000000001</v>
      </c>
      <c r="O18" s="35">
        <f t="shared" ref="O18:O26" ca="1" si="0">IF(L18&gt;0,N18*100/L18,0)</f>
        <v>86.542635658914733</v>
      </c>
      <c r="P18" s="35">
        <f t="shared" ref="P18:P26" ca="1" si="1">IF(M18&gt;0,N18*100/M18,0)</f>
        <v>82.597387274174579</v>
      </c>
      <c r="Q18" s="35">
        <f ca="1">Q19+Q20</f>
        <v>711058.99</v>
      </c>
      <c r="R18" s="35">
        <f ca="1">R19+R20</f>
        <v>711059</v>
      </c>
      <c r="S18" s="35">
        <f ca="1">S19+S20</f>
        <v>164239.91</v>
      </c>
      <c r="T18" s="35">
        <f t="shared" ref="T18:T26" ca="1" si="2">IF(Q18&gt;0,S18*100/Q18,0)</f>
        <v>23.097930313770451</v>
      </c>
      <c r="U18" s="35">
        <f t="shared" ref="U18:U26" ca="1" si="3">IF(R18&gt;0,S18*100/R18,0)</f>
        <v>23.097929988932002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1180995</v>
      </c>
      <c r="M20" s="39">
        <f t="shared" ca="1" si="4"/>
        <v>1237405</v>
      </c>
      <c r="N20" s="39">
        <f t="shared" ca="1" si="4"/>
        <v>1022064.2000000001</v>
      </c>
      <c r="O20" s="39">
        <f t="shared" ca="1" si="0"/>
        <v>86.542635658914733</v>
      </c>
      <c r="P20" s="39">
        <f t="shared" ca="1" si="1"/>
        <v>82.597387274174579</v>
      </c>
      <c r="Q20" s="39">
        <f t="shared" ca="1" si="5"/>
        <v>711058.99</v>
      </c>
      <c r="R20" s="39">
        <f t="shared" ca="1" si="5"/>
        <v>711059</v>
      </c>
      <c r="S20" s="39">
        <f t="shared" ca="1" si="5"/>
        <v>164239.91</v>
      </c>
      <c r="T20" s="39">
        <f t="shared" ca="1" si="2"/>
        <v>23.097930313770451</v>
      </c>
      <c r="U20" s="39">
        <f t="shared" ca="1" si="3"/>
        <v>23.097929988932002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1180995</v>
      </c>
      <c r="M21" s="47">
        <f ca="1">M22+M23</f>
        <v>1237405</v>
      </c>
      <c r="N21" s="47">
        <f ca="1">N22+N23</f>
        <v>1022064.2000000001</v>
      </c>
      <c r="O21" s="47">
        <f t="shared" ca="1" si="0"/>
        <v>86.542635658914733</v>
      </c>
      <c r="P21" s="47">
        <f t="shared" ca="1" si="1"/>
        <v>82.597387274174579</v>
      </c>
      <c r="Q21" s="47">
        <f ca="1">Q22+Q23</f>
        <v>711058.99</v>
      </c>
      <c r="R21" s="47">
        <f ca="1">R22+R23</f>
        <v>711059</v>
      </c>
      <c r="S21" s="47">
        <f ca="1">S22+S23</f>
        <v>164239.91</v>
      </c>
      <c r="T21" s="47">
        <f t="shared" ca="1" si="2"/>
        <v>23.097930313770451</v>
      </c>
      <c r="U21" s="47">
        <f t="shared" ca="1" si="3"/>
        <v>23.097929988932002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1180995</v>
      </c>
      <c r="M23" s="47">
        <f t="shared" ca="1" si="6"/>
        <v>1237405</v>
      </c>
      <c r="N23" s="47">
        <f t="shared" ca="1" si="6"/>
        <v>1022064.2000000001</v>
      </c>
      <c r="O23" s="47">
        <f t="shared" ca="1" si="0"/>
        <v>86.542635658914733</v>
      </c>
      <c r="P23" s="47">
        <f t="shared" ca="1" si="1"/>
        <v>82.597387274174579</v>
      </c>
      <c r="Q23" s="47">
        <f t="shared" ca="1" si="7"/>
        <v>711058.99</v>
      </c>
      <c r="R23" s="47">
        <f t="shared" ca="1" si="7"/>
        <v>711059</v>
      </c>
      <c r="S23" s="47">
        <f t="shared" ca="1" si="7"/>
        <v>164239.91</v>
      </c>
      <c r="T23" s="47">
        <f t="shared" ca="1" si="2"/>
        <v>23.097930313770451</v>
      </c>
      <c r="U23" s="47">
        <f t="shared" ca="1" si="3"/>
        <v>23.097929988932002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1180995</v>
      </c>
      <c r="M40" s="703">
        <f ca="1">M44+M59+M72+M94+M125+M139+M157+M173+M186+M266+M282+M303+M320+M333+M356</f>
        <v>1237405</v>
      </c>
      <c r="N40" s="703">
        <f ca="1">N44+N59+N72+N94+N125+N139+N157+N173+N186+N266+N282+N303+N320+N333+N356</f>
        <v>1022064.2000000001</v>
      </c>
      <c r="O40" s="703">
        <f ca="1">IF(L40&gt;0,N40*100/L40,0)</f>
        <v>86.542635658914733</v>
      </c>
      <c r="P40" s="703">
        <f ca="1">IF(M40&gt;0,N40*100/M40,0)</f>
        <v>82.597387274174579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132100</v>
      </c>
      <c r="M44" s="79">
        <f ca="1">M45+M46</f>
        <v>165080</v>
      </c>
      <c r="N44" s="79">
        <f ca="1">N45+N46</f>
        <v>133850</v>
      </c>
      <c r="O44" s="79">
        <f t="shared" ref="O44:O52" ca="1" si="10">IF(L44&gt;0,N44*100/L44,0)</f>
        <v>101.32475397426192</v>
      </c>
      <c r="P44" s="79">
        <f t="shared" ref="P44:P52" ca="1" si="11">IF(M44&gt;0,N44*100/M44,0)</f>
        <v>81.081899685001218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132100</v>
      </c>
      <c r="M46" s="83">
        <f t="shared" ca="1" si="14"/>
        <v>165080</v>
      </c>
      <c r="N46" s="83">
        <f t="shared" ca="1" si="14"/>
        <v>133850</v>
      </c>
      <c r="O46" s="83">
        <f t="shared" ca="1" si="10"/>
        <v>101.32475397426192</v>
      </c>
      <c r="P46" s="83">
        <f t="shared" ca="1" si="11"/>
        <v>81.081899685001218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132100</v>
      </c>
      <c r="M47" s="47">
        <f ca="1">M48+M49</f>
        <v>165080</v>
      </c>
      <c r="N47" s="47">
        <f ca="1">N48+N49</f>
        <v>133850</v>
      </c>
      <c r="O47" s="47">
        <f t="shared" ca="1" si="10"/>
        <v>101.32475397426192</v>
      </c>
      <c r="P47" s="47">
        <f t="shared" ca="1" si="11"/>
        <v>81.081899685001218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IFERROR(__xludf.DUMMYFUNCTION("IMPORTRANGE(""https://docs.google.com/spreadsheets/d/1-uDff_7J0KD5mKrp0Vvzr7lt3OU09vwQwhkpOPPYv2Y/edit?usp=sharing"",""งบพรบ!P84"")"),132100)</f>
        <v>132100</v>
      </c>
      <c r="M49" s="47">
        <f ca="1">IFERROR(__xludf.DUMMYFUNCTION("IMPORTRANGE(""https://docs.google.com/spreadsheets/d/1-uDff_7J0KD5mKrp0Vvzr7lt3OU09vwQwhkpOPPYv2Y/edit?usp=sharing"",""งบพรบ!V84"")"),165080)</f>
        <v>165080</v>
      </c>
      <c r="N49" s="47">
        <f ca="1">IFERROR(__xludf.DUMMYFUNCTION("IMPORTRANGE(""https://docs.google.com/spreadsheets/d/1-uDff_7J0KD5mKrp0Vvzr7lt3OU09vwQwhkpOPPYv2Y/edit?usp=sharing"",""งบพรบ!Y84"")"),133850)</f>
        <v>133850</v>
      </c>
      <c r="O49" s="47">
        <f t="shared" ca="1" si="10"/>
        <v>101.32475397426192</v>
      </c>
      <c r="P49" s="47">
        <f t="shared" ca="1" si="11"/>
        <v>81.081899685001218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388700</v>
      </c>
      <c r="M59" s="106">
        <f ca="1">M60+M61</f>
        <v>388700</v>
      </c>
      <c r="N59" s="106">
        <f ca="1">N60+N61</f>
        <v>336476.51</v>
      </c>
      <c r="O59" s="106">
        <f t="shared" ref="O59:O67" ca="1" si="16">IF(L59&gt;0,N59*100/L59,0)</f>
        <v>86.564576794443013</v>
      </c>
      <c r="P59" s="106">
        <f t="shared" ref="P59:P67" ca="1" si="17">IF(M59&gt;0,N59*100/M59,0)</f>
        <v>86.564576794443013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388700</v>
      </c>
      <c r="M61" s="109">
        <f t="shared" ca="1" si="20"/>
        <v>388700</v>
      </c>
      <c r="N61" s="109">
        <f t="shared" ca="1" si="20"/>
        <v>336476.51</v>
      </c>
      <c r="O61" s="109">
        <f t="shared" ca="1" si="16"/>
        <v>86.564576794443013</v>
      </c>
      <c r="P61" s="109">
        <f t="shared" ca="1" si="17"/>
        <v>86.564576794443013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388700</v>
      </c>
      <c r="M62" s="47">
        <f ca="1">M63+M64</f>
        <v>388700</v>
      </c>
      <c r="N62" s="47">
        <f ca="1">N63+N64</f>
        <v>336476.51</v>
      </c>
      <c r="O62" s="47">
        <f t="shared" ca="1" si="16"/>
        <v>86.564576794443013</v>
      </c>
      <c r="P62" s="47">
        <f t="shared" ca="1" si="17"/>
        <v>86.564576794443013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IFERROR(__xludf.DUMMYFUNCTION("IMPORTRANGE(""https://docs.google.com/spreadsheets/d/1-uDff_7J0KD5mKrp0Vvzr7lt3OU09vwQwhkpOPPYv2Y/edit?usp=sharing"",""งบพรบ!AC84"")"),388700)</f>
        <v>388700</v>
      </c>
      <c r="M64" s="47">
        <f ca="1">IFERROR(__xludf.DUMMYFUNCTION("IMPORTRANGE(""https://docs.google.com/spreadsheets/d/1-uDff_7J0KD5mKrp0Vvzr7lt3OU09vwQwhkpOPPYv2Y/edit?usp=sharing"",""งบพรบ!AH84"")"),388700)</f>
        <v>388700</v>
      </c>
      <c r="N64" s="47">
        <f ca="1">IFERROR(__xludf.DUMMYFUNCTION("IMPORTRANGE(""https://docs.google.com/spreadsheets/d/1-uDff_7J0KD5mKrp0Vvzr7lt3OU09vwQwhkpOPPYv2Y/edit?usp=sharing"",""งบพรบ!AJ84"")"),336476.51)</f>
        <v>336476.51</v>
      </c>
      <c r="O64" s="47">
        <f t="shared" ca="1" si="16"/>
        <v>86.564576794443013</v>
      </c>
      <c r="P64" s="47">
        <f t="shared" ca="1" si="17"/>
        <v>86.564576794443013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IFERROR(__xludf.DUMMYFUNCTION("IMPORTRANGE(""https://docs.google.com/spreadsheets/d/1ItG2mGa2ceCfYo0BwxsXqNm01IGEUdYcSSLTEv9YCik/edit?usp=sharing"",""เบิกจ่ายกองทุน!AS84"")"),0)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IFERROR(__xludf.DUMMYFUNCTION("IMPORTRANGE(""https://docs.google.com/spreadsheets/d/1ItG2mGa2ceCfYo0BwxsXqNm01IGEUdYcSSLTEv9YCik/edit?usp=sharing"",""เบิกจ่ายกองทุน!AT84"")"),0)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IFERROR(__xludf.DUMMYFUNCTION("IMPORTRANGE(""https://docs.google.com/spreadsheets/d/1ItG2mGa2ceCfYo0BwxsXqNm01IGEUdYcSSLTEv9YCik/edit?usp=sharing"",""เบิกจ่ายกองทุน!AU84"")"),0)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IFERROR(__xludf.DUMMYFUNCTION("IMPORTRANGE(""https://docs.google.com/spreadsheets/d/1ItG2mGa2ceCfYo0BwxsXqNm01IGEUdYcSSLTEv9YCik/edit?usp=sharing"",""เบิกจ่ายกองทุน!AE84"")"),0)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IFERROR(__xludf.DUMMYFUNCTION("IMPORTRANGE(""https://docs.google.com/spreadsheets/d/1ItG2mGa2ceCfYo0BwxsXqNm01IGEUdYcSSLTEv9YCik/edit?usp=sharing"",""เบิกจ่ายกองทุน!AF84"")"),0)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119453.44</v>
      </c>
      <c r="T117" s="132">
        <f t="shared" ref="T117:T125" ca="1" si="37">IF(Q117&gt;0,S117*100/Q117,0)</f>
        <v>62.390807479369059</v>
      </c>
      <c r="U117" s="132">
        <f t="shared" ref="U117:U125" ca="1" si="38">IF(R117&gt;0,S117*100/R117,0)</f>
        <v>62.390807479369059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191460</v>
      </c>
      <c r="R119" s="47">
        <f t="shared" ca="1" si="40"/>
        <v>191460</v>
      </c>
      <c r="S119" s="47">
        <f t="shared" ca="1" si="40"/>
        <v>119453.44</v>
      </c>
      <c r="T119" s="47">
        <f t="shared" ca="1" si="37"/>
        <v>62.390807479369059</v>
      </c>
      <c r="U119" s="47">
        <f t="shared" ca="1" si="38"/>
        <v>62.390807479369059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119453.44</v>
      </c>
      <c r="T120" s="47">
        <f t="shared" ca="1" si="37"/>
        <v>62.390807479369059</v>
      </c>
      <c r="U120" s="47">
        <f t="shared" ca="1" si="38"/>
        <v>62.390807479369059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IFERROR(__xludf.DUMMYFUNCTION("IMPORTRANGE(""https://docs.google.com/spreadsheets/d/1ItG2mGa2ceCfYo0BwxsXqNm01IGEUdYcSSLTEv9YCik/edit?usp=sharing"",""เบิกจ่ายกองทุน!S84"")"),191460)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IFERROR(__xludf.DUMMYFUNCTION("IMPORTRANGE(""https://docs.google.com/spreadsheets/d/1ItG2mGa2ceCfYo0BwxsXqNm01IGEUdYcSSLTEv9YCik/edit?usp=sharing"",""เบิกจ่ายกองทุน!T84"")"),119453.44)</f>
        <v>119453.44</v>
      </c>
      <c r="T122" s="47">
        <f t="shared" ca="1" si="37"/>
        <v>62.390807479369059</v>
      </c>
      <c r="U122" s="47">
        <f t="shared" ca="1" si="38"/>
        <v>62.390807479369059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IFERROR(__xludf.DUMMYFUNCTION("IMPORTRANGE(""https://docs.google.com/spreadsheets/d/1ItG2mGa2ceCfYo0BwxsXqNm01IGEUdYcSSLTEv9YCik/edit?usp=sharing"",""เบิกจ่ายกองทุน!BD84"")"),0)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IFERROR(__xludf.DUMMYFUNCTION("IMPORTRANGE(""https://docs.google.com/spreadsheets/d/1ItG2mGa2ceCfYo0BwxsXqNm01IGEUdYcSSLTEv9YCik/edit?usp=sharing"",""เบิกจ่ายกองทุน!AI84"")"),0)</f>
        <v>0</v>
      </c>
      <c r="T162" s="47">
        <f t="shared" ca="1" si="49"/>
        <v>0</v>
      </c>
      <c r="U162" s="47">
        <f t="shared" ca="1" si="50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IFERROR(__xludf.DUMMYFUNCTION("IMPORTRANGE(""https://docs.google.com/spreadsheets/d/1eHaY18a8A9IcSdp1K8H6x8fbOy06t2VsZHhMHf-1x7Y/edit?usp=sharing"",""แผน!Z84"")"),0)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IFERROR(__xludf.DUMMYFUNCTION("IMPORTRANGE(""https://docs.google.com/spreadsheets/d/1eHaY18a8A9IcSdp1K8H6x8fbOy06t2VsZHhMHf-1x7Y/edit?usp=sharing"",""แผน!Z84"")"),0)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t="shared" ref="O173:O181" ca="1" si="53">IF(L173&gt;0,N173*100/L173,0)</f>
        <v>209.39254721796834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41020</v>
      </c>
      <c r="N175" s="47">
        <f t="shared" ca="1" si="57"/>
        <v>41020</v>
      </c>
      <c r="O175" s="47">
        <f t="shared" ca="1" si="53"/>
        <v>209.39254721796834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t="shared" ca="1" si="53"/>
        <v>209.39254721796834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t="shared" ca="1" si="53"/>
        <v>209.39254721796834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IFERROR(__xludf.DUMMYFUNCTION("IMPORTRANGE(""https://docs.google.com/spreadsheets/d/1ItG2mGa2ceCfYo0BwxsXqNm01IGEUdYcSSLTEv9YCik/edit?usp=sharing"",""เบิกจ่ายกองทุน!BG84"")"),0)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105500</v>
      </c>
      <c r="M186" s="132">
        <f ca="1">M187+M188</f>
        <v>97500</v>
      </c>
      <c r="N186" s="132">
        <f ca="1">N187+N188</f>
        <v>79179.520000000004</v>
      </c>
      <c r="O186" s="132">
        <f t="shared" ref="O186:O194" ca="1" si="59">IF(L186&gt;0,N186*100/L186,0)</f>
        <v>75.051677725118481</v>
      </c>
      <c r="P186" s="132">
        <f t="shared" ref="P186:P194" ca="1" si="60">IF(M186&gt;0,N186*100/M186,0)</f>
        <v>81.209764102564108</v>
      </c>
      <c r="Q186" s="132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t="shared" ref="T186:T194" ca="1" si="61">IF(Q186&gt;0,S186*100/Q186,0)</f>
        <v>100</v>
      </c>
      <c r="U186" s="132">
        <f t="shared" ref="U186:U194" ca="1" si="62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105500</v>
      </c>
      <c r="M188" s="47">
        <f t="shared" ca="1" si="63"/>
        <v>97500</v>
      </c>
      <c r="N188" s="47">
        <f t="shared" ca="1" si="63"/>
        <v>79179.520000000004</v>
      </c>
      <c r="O188" s="47">
        <f t="shared" ca="1" si="59"/>
        <v>75.051677725118481</v>
      </c>
      <c r="P188" s="47">
        <f t="shared" ca="1" si="60"/>
        <v>81.209764102564108</v>
      </c>
      <c r="Q188" s="47">
        <f t="shared" ca="1" si="64"/>
        <v>14000</v>
      </c>
      <c r="R188" s="47">
        <f t="shared" ca="1" si="64"/>
        <v>14000</v>
      </c>
      <c r="S188" s="47">
        <f t="shared" ca="1" si="64"/>
        <v>14000</v>
      </c>
      <c r="T188" s="47">
        <f t="shared" ca="1" si="61"/>
        <v>100</v>
      </c>
      <c r="U188" s="47">
        <f t="shared" ca="1" si="62"/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105500</v>
      </c>
      <c r="M189" s="47">
        <f ca="1">M190+M191</f>
        <v>97500</v>
      </c>
      <c r="N189" s="47">
        <f ca="1">N190+N191</f>
        <v>79179.520000000004</v>
      </c>
      <c r="O189" s="47">
        <f t="shared" ca="1" si="59"/>
        <v>75.051677725118481</v>
      </c>
      <c r="P189" s="47">
        <f t="shared" ca="1" si="60"/>
        <v>81.209764102564108</v>
      </c>
      <c r="Q189" s="47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t="shared" ca="1" si="61"/>
        <v>100</v>
      </c>
      <c r="U189" s="47">
        <f t="shared" ca="1" si="62"/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IFERROR(__xludf.DUMMYFUNCTION("IMPORTRANGE(""https://docs.google.com/spreadsheets/d/1-uDff_7J0KD5mKrp0Vvzr7lt3OU09vwQwhkpOPPYv2Y/edit?usp=sharing"",""งบพรบ!CU84"")"),105500)</f>
        <v>105500</v>
      </c>
      <c r="M191" s="47">
        <f ca="1">IFERROR(__xludf.DUMMYFUNCTION("IMPORTRANGE(""https://docs.google.com/spreadsheets/d/1-uDff_7J0KD5mKrp0Vvzr7lt3OU09vwQwhkpOPPYv2Y/edit?usp=sharing"",""งบพรบ!CZ84"")"),97500)</f>
        <v>97500</v>
      </c>
      <c r="N191" s="47">
        <f ca="1">IFERROR(__xludf.DUMMYFUNCTION("IMPORTRANGE(""https://docs.google.com/spreadsheets/d/1-uDff_7J0KD5mKrp0Vvzr7lt3OU09vwQwhkpOPPYv2Y/edit?usp=sharing"",""งบพรบ!DB84"")"),79179.52)</f>
        <v>79179.520000000004</v>
      </c>
      <c r="O191" s="47">
        <f t="shared" ca="1" si="59"/>
        <v>75.051677725118481</v>
      </c>
      <c r="P191" s="47">
        <f t="shared" ca="1" si="60"/>
        <v>81.209764102564108</v>
      </c>
      <c r="Q191" s="47">
        <f ca="1">IFERROR(__xludf.DUMMYFUNCTION("IMPORTRANGE(""https://docs.google.com/spreadsheets/d/1ItG2mGa2ceCfYo0BwxsXqNm01IGEUdYcSSLTEv9YCik/edit?usp=sharing"",""เบิกจ่ายกองทุน!AV84"")"),14000)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IFERROR(__xludf.DUMMYFUNCTION("IMPORTRANGE(""https://docs.google.com/spreadsheets/d/1ItG2mGa2ceCfYo0BwxsXqNm01IGEUdYcSSLTEv9YCik/edit?usp=sharing"",""เบิกจ่ายกองทุน!AW84"")"),14000)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IFERROR(__xludf.DUMMYFUNCTION("IMPORTRANGE(""https://docs.google.com/spreadsheets/d/1ItG2mGa2ceCfYo0BwxsXqNm01IGEUdYcSSLTEv9YCik/edit?usp=sharing"",""เบิกจ่ายกองทุน!AX84"")"),14000)</f>
        <v>14000</v>
      </c>
      <c r="T191" s="47">
        <f t="shared" ca="1" si="61"/>
        <v>100</v>
      </c>
      <c r="U191" s="47">
        <f t="shared" ca="1" si="62"/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672">
        <v>1980</v>
      </c>
      <c r="O196" s="132">
        <f ca="1">IF(L196&gt;0,N196*100/L196,0)</f>
        <v>33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5000</v>
      </c>
      <c r="M203" s="46"/>
      <c r="N203" s="132">
        <f>N204+N205+N206+N207</f>
        <v>5000</v>
      </c>
      <c r="O203" s="132">
        <f ca="1">IF(L203&gt;0,N203*100/L203,0)</f>
        <v>100</v>
      </c>
      <c r="P203" s="132">
        <f>IF(M203&gt;0,N203*100/M203,0)</f>
        <v>0</v>
      </c>
      <c r="Q203" s="671">
        <f ca="1">Q204+Q205+Q206+Q207</f>
        <v>14000</v>
      </c>
      <c r="R203" s="177"/>
      <c r="S203" s="670">
        <f>S204+S205+S206+S207</f>
        <v>14000</v>
      </c>
      <c r="T203" s="670">
        <f ca="1">IF(Q203&gt;0,S203*100/Q203,0)</f>
        <v>100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646">
        <v>1000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IFERROR(__xludf.DUMMYFUNCTION("IMPORTRANGE(""https://docs.google.com/spreadsheets/d/1eHaY18a8A9IcSdp1K8H6x8fbOy06t2VsZHhMHf-1x7Y/edit?usp=sharing"",""แผน!AH84"")"),0)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IFERROR(__xludf.DUMMYFUNCTION("IMPORTRANGE(""https://docs.google.com/spreadsheets/d/1eHaY18a8A9IcSdp1K8H6x8fbOy06t2VsZHhMHf-1x7Y/edit?usp=sharing"",""แผน!AI84"")"),0)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646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646">
        <v>4000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IFERROR(__xludf.DUMMYFUNCTION("IMPORTRANGE(""https://docs.google.com/spreadsheets/d/1eHaY18a8A9IcSdp1K8H6x8fbOy06t2VsZHhMHf-1x7Y/edit?usp=sharing"",""แผน!AM84"")"),0)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IFERROR(__xludf.DUMMYFUNCTION("IMPORTRANGE(""https://docs.google.com/spreadsheets/d/1eHaY18a8A9IcSdp1K8H6x8fbOy06t2VsZHhMHf-1x7Y/edit?usp=sharing"",""แผน!AN84"")"),0)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IFERROR(__xludf.DUMMYFUNCTION("IMPORTRANGE(""https://docs.google.com/spreadsheets/d/1eHaY18a8A9IcSdp1K8H6x8fbOy06t2VsZHhMHf-1x7Y/edit?usp=sharing"",""แผน!AO84"")"),0)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IFERROR(__xludf.DUMMYFUNCTION("IMPORTRANGE(""https://docs.google.com/spreadsheets/d/1eHaY18a8A9IcSdp1K8H6x8fbOy06t2VsZHhMHf-1x7Y/edit?usp=sharing"",""แผน!LY84"")"),0)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IFERROR(__xludf.DUMMYFUNCTION("IMPORTRANGE(""https://docs.google.com/spreadsheets/d/1eHaY18a8A9IcSdp1K8H6x8fbOy06t2VsZHhMHf-1x7Y/edit?usp=sharing"",""แผน!AR84"")"),2500)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IFERROR(__xludf.DUMMYFUNCTION("IMPORTRANGE(""https://docs.google.com/spreadsheets/d/1eHaY18a8A9IcSdp1K8H6x8fbOy06t2VsZHhMHf-1x7Y/edit?usp=sharing"",""แผน!AS84"")"),2000)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IFERROR(__xludf.DUMMYFUNCTION("IMPORTRANGE(""https://docs.google.com/spreadsheets/d/1eHaY18a8A9IcSdp1K8H6x8fbOy06t2VsZHhMHf-1x7Y/edit?usp=sharing"",""แผน!AT84"")"),0)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IFERROR(__xludf.DUMMYFUNCTION("IMPORTRANGE(""https://docs.google.com/spreadsheets/d/1eHaY18a8A9IcSdp1K8H6x8fbOy06t2VsZHhMHf-1x7Y/edit?usp=sharing"",""แผน!AX84"")"),0)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IFERROR(__xludf.DUMMYFUNCTION("IMPORTRANGE(""https://docs.google.com/spreadsheets/d/1eHaY18a8A9IcSdp1K8H6x8fbOy06t2VsZHhMHf-1x7Y/edit?usp=sharing"",""แผน!AY84"")"),0)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IFERROR(__xludf.DUMMYFUNCTION("IMPORTRANGE(""https://docs.google.com/spreadsheets/d/1eHaY18a8A9IcSdp1K8H6x8fbOy06t2VsZHhMHf-1x7Y/edit?usp=sharing"",""แผน!AZ84"")"),0)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IFERROR(__xludf.DUMMYFUNCTION("IMPORTRANGE(""https://docs.google.com/spreadsheets/d/1eHaY18a8A9IcSdp1K8H6x8fbOy06t2VsZHhMHf-1x7Y/edit?usp=sharing"",""แผน!BA84"")"),0)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IFERROR(__xludf.DUMMYFUNCTION("IMPORTRANGE(""https://docs.google.com/spreadsheets/d/1eHaY18a8A9IcSdp1K8H6x8fbOy06t2VsZHhMHf-1x7Y/edit?usp=sharing"",""แผน!BG84"")"),0)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IFERROR(__xludf.DUMMYFUNCTION("IMPORTRANGE(""https://docs.google.com/spreadsheets/d/1eHaY18a8A9IcSdp1K8H6x8fbOy06t2VsZHhMHf-1x7Y/edit?usp=sharing"",""แผน!BB84"")"),0)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IFERROR(__xludf.DUMMYFUNCTION("IMPORTRANGE(""https://docs.google.com/spreadsheets/d/1eHaY18a8A9IcSdp1K8H6x8fbOy06t2VsZHhMHf-1x7Y/edit?usp=sharing"",""แผน!BC84"")"),0)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IFERROR(__xludf.DUMMYFUNCTION("IMPORTRANGE(""https://docs.google.com/spreadsheets/d/1eHaY18a8A9IcSdp1K8H6x8fbOy06t2VsZHhMHf-1x7Y/edit?usp=sharing"",""แผน!BD84"")"),0)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IFERROR(__xludf.DUMMYFUNCTION("IMPORTRANGE(""https://docs.google.com/spreadsheets/d/1eHaY18a8A9IcSdp1K8H6x8fbOy06t2VsZHhMHf-1x7Y/edit?usp=sharing"",""แผน!BE84"")"),0)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IFERROR(__xludf.DUMMYFUNCTION("IMPORTRANGE(""https://docs.google.com/spreadsheets/d/1eHaY18a8A9IcSdp1K8H6x8fbOy06t2VsZHhMHf-1x7Y/edit?usp=sharing"",""แผน!BH84"")"),0)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20</v>
      </c>
      <c r="J265" s="629">
        <f>J276</f>
        <v>20</v>
      </c>
      <c r="K265" s="628">
        <f ca="1">IF(I265&gt;0,J265*100/I265,0)</f>
        <v>100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47880</v>
      </c>
      <c r="R266" s="624">
        <f ca="1">R267+R268</f>
        <v>47880</v>
      </c>
      <c r="S266" s="624">
        <f ca="1">S267+S268</f>
        <v>23100</v>
      </c>
      <c r="T266" s="624">
        <f t="shared" ref="T266:T274" ca="1" si="67">IF(Q266&gt;0,S266*100/Q266,0)</f>
        <v>48.245614035087719</v>
      </c>
      <c r="U266" s="624">
        <f t="shared" ref="U266:U274" ca="1" si="68">IF(R266&gt;0,S266*100/R266,0)</f>
        <v>48.245614035087719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47880</v>
      </c>
      <c r="R268" s="482">
        <f t="shared" ca="1" si="70"/>
        <v>47880</v>
      </c>
      <c r="S268" s="482">
        <f t="shared" ca="1" si="70"/>
        <v>23100</v>
      </c>
      <c r="T268" s="482">
        <f t="shared" ca="1" si="67"/>
        <v>48.245614035087719</v>
      </c>
      <c r="U268" s="482">
        <f t="shared" ca="1" si="68"/>
        <v>48.245614035087719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47880</v>
      </c>
      <c r="R269" s="482">
        <f ca="1">R270+R271</f>
        <v>47880</v>
      </c>
      <c r="S269" s="482">
        <f ca="1">S270+S271</f>
        <v>23100</v>
      </c>
      <c r="T269" s="482">
        <f t="shared" ca="1" si="67"/>
        <v>48.245614035087719</v>
      </c>
      <c r="U269" s="482">
        <f t="shared" ca="1" si="68"/>
        <v>48.245614035087719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IFERROR(__xludf.DUMMYFUNCTION("IMPORTRANGE(""https://docs.google.com/spreadsheets/d/1-uDff_7J0KD5mKrp0Vvzr7lt3OU09vwQwhkpOPPYv2Y/edit?usp=sharing"",""งบพรบ!DE84"")"),0)</f>
        <v>0</v>
      </c>
      <c r="M271" s="482">
        <f ca="1">IFERROR(__xludf.DUMMYFUNCTION("IMPORTRANGE(""https://docs.google.com/spreadsheets/d/1-uDff_7J0KD5mKrp0Vvzr7lt3OU09vwQwhkpOPPYv2Y/edit?usp=sharing"",""งบพรบ!DJ84"")"),5000)</f>
        <v>5000</v>
      </c>
      <c r="N271" s="482">
        <f ca="1">IFERROR(__xludf.DUMMYFUNCTION("IMPORTRANGE(""https://docs.google.com/spreadsheets/d/1-uDff_7J0KD5mKrp0Vvzr7lt3OU09vwQwhkpOPPYv2Y/edit?usp=sharing"",""งบพรบ!DL84"")"),0)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IFERROR(__xludf.DUMMYFUNCTION("IMPORTRANGE(""https://docs.google.com/spreadsheets/d/1ItG2mGa2ceCfYo0BwxsXqNm01IGEUdYcSSLTEv9YCik/edit?usp=sharing"",""เบิกจ่ายกองทุน!AJ84"")"),47880)</f>
        <v>47880</v>
      </c>
      <c r="R271" s="482">
        <f ca="1">IFERROR(__xludf.DUMMYFUNCTION("IMPORTRANGE(""https://docs.google.com/spreadsheets/d/1ItG2mGa2ceCfYo0BwxsXqNm01IGEUdYcSSLTEv9YCik/edit?usp=sharing"",""เบิกจ่ายกองทุน!AK84"")"),47880)</f>
        <v>47880</v>
      </c>
      <c r="S271" s="482">
        <f ca="1">IFERROR(__xludf.DUMMYFUNCTION("IMPORTRANGE(""https://docs.google.com/spreadsheets/d/1ItG2mGa2ceCfYo0BwxsXqNm01IGEUdYcSSLTEv9YCik/edit?usp=sharing"",""เบิกจ่ายกองทุน!AL84"")"),23100)</f>
        <v>23100</v>
      </c>
      <c r="T271" s="482">
        <f t="shared" ca="1" si="67"/>
        <v>48.245614035087719</v>
      </c>
      <c r="U271" s="482">
        <f t="shared" ca="1" si="68"/>
        <v>48.245614035087719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IFERROR(__xludf.DUMMYFUNCTION("IMPORTRANGE(""https://docs.google.com/spreadsheets/d/1-uDff_7J0KD5mKrp0Vvzr7lt3OU09vwQwhkpOPPYv2Y/edit?usp=sharing"",""งบพรบ!DH84"")"),0)</f>
        <v>0</v>
      </c>
      <c r="M274" s="482">
        <f ca="1">IFERROR(__xludf.DUMMYFUNCTION("IMPORTRANGE(""https://docs.google.com/spreadsheets/d/1-uDff_7J0KD5mKrp0Vvzr7lt3OU09vwQwhkpOPPYv2Y/edit?usp=sharing"",""งบพรบ!DK84"")"),0)</f>
        <v>0</v>
      </c>
      <c r="N274" s="482">
        <f ca="1">IFERROR(__xludf.DUMMYFUNCTION("IMPORTRANGE(""https://docs.google.com/spreadsheets/d/1-uDff_7J0KD5mKrp0Vvzr7lt3OU09vwQwhkpOPPYv2Y/edit?usp=sharing"",""งบพรบ!DM84"")"),0)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194611.99</v>
      </c>
      <c r="R305" s="47">
        <f t="shared" ca="1" si="82"/>
        <v>194612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IFERROR(__xludf.DUMMYFUNCTION("IMPORTRANGE(""https://docs.google.com/spreadsheets/d/1ItG2mGa2ceCfYo0BwxsXqNm01IGEUdYcSSLTEv9YCik/edit?usp=sharing"",""เบิกจ่ายกองทุน!AQ84"")"),194612)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IFERROR(__xludf.DUMMYFUNCTION("IMPORTRANGE(""https://docs.google.com/spreadsheets/d/1ItG2mGa2ceCfYo0BwxsXqNm01IGEUdYcSSLTEv9YCik/edit?usp=sharing"",""เบิกจ่ายกองทุน!AR84"")"),0)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140</v>
      </c>
      <c r="J332" s="596">
        <f ca="1">J344+J347+J348+J349+J353</f>
        <v>502</v>
      </c>
      <c r="K332" s="595">
        <f ca="1">IF(I332&gt;0,J332*100/I332,0)</f>
        <v>358.57142857142856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99000</v>
      </c>
      <c r="M333" s="132">
        <f ca="1">M334+M335</f>
        <v>104000</v>
      </c>
      <c r="N333" s="132">
        <f ca="1">N334+N335</f>
        <v>54346.93</v>
      </c>
      <c r="O333" s="132">
        <f t="shared" ref="O333:O341" ca="1" si="89">IF(L333&gt;0,N333*100/L333,0)</f>
        <v>54.895888888888891</v>
      </c>
      <c r="P333" s="132">
        <f t="shared" ref="P333:P341" ca="1" si="90">IF(M333&gt;0,N333*100/M333,0)</f>
        <v>52.256663461538459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99000</v>
      </c>
      <c r="M335" s="47">
        <f t="shared" ca="1" si="93"/>
        <v>104000</v>
      </c>
      <c r="N335" s="47">
        <f t="shared" ca="1" si="93"/>
        <v>54346.93</v>
      </c>
      <c r="O335" s="47">
        <f t="shared" ca="1" si="89"/>
        <v>54.895888888888891</v>
      </c>
      <c r="P335" s="47">
        <f t="shared" ca="1" si="90"/>
        <v>52.256663461538459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99000</v>
      </c>
      <c r="M336" s="47">
        <f ca="1">M337+M338</f>
        <v>104000</v>
      </c>
      <c r="N336" s="47">
        <f ca="1">N337+N338</f>
        <v>54346.93</v>
      </c>
      <c r="O336" s="47">
        <f t="shared" ca="1" si="89"/>
        <v>54.895888888888891</v>
      </c>
      <c r="P336" s="47">
        <f t="shared" ca="1" si="90"/>
        <v>52.256663461538459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IFERROR(__xludf.DUMMYFUNCTION("IMPORTRANGE(""https://docs.google.com/spreadsheets/d/1-uDff_7J0KD5mKrp0Vvzr7lt3OU09vwQwhkpOPPYv2Y/edit?usp=sharing"",""งบพรบ!ES84"")"),99000)</f>
        <v>99000</v>
      </c>
      <c r="M338" s="47">
        <f ca="1">IFERROR(__xludf.DUMMYFUNCTION("IMPORTRANGE(""https://docs.google.com/spreadsheets/d/1-uDff_7J0KD5mKrp0Vvzr7lt3OU09vwQwhkpOPPYv2Y/edit?usp=sharing"",""งบพรบ!EX84"")"),104000)</f>
        <v>104000</v>
      </c>
      <c r="N338" s="47">
        <f ca="1">IFERROR(__xludf.DUMMYFUNCTION("IMPORTRANGE(""https://docs.google.com/spreadsheets/d/1-uDff_7J0KD5mKrp0Vvzr7lt3OU09vwQwhkpOPPYv2Y/edit?usp=sharing"",""งบพรบ!EZ84"")"),54346.93)</f>
        <v>54346.93</v>
      </c>
      <c r="O338" s="47">
        <f t="shared" ca="1" si="89"/>
        <v>54.895888888888891</v>
      </c>
      <c r="P338" s="47">
        <f t="shared" ca="1" si="90"/>
        <v>52.256663461538459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164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IFERROR(__xludf.DUMMYFUNCTION("IMPORTRANGE(""https://docs.google.com/spreadsheets/d/1awYsYK3VOup2i3Pq_Yjnu8DRu_mYwSBnCR2QPthd0rU/edit?usp=sharing"",""ศูนย์รวม!E84"")"),0)</f>
        <v>0</v>
      </c>
      <c r="K346" s="47">
        <f ca="1">IF(I346&gt;0,J346*100/I346,0)</f>
        <v>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343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IFERROR(__xludf.DUMMYFUNCTION("IMPORTRANGE(""https://docs.google.com/spreadsheets/d/1awYsYK3VOup2i3Pq_Yjnu8DRu_mYwSBnCR2QPthd0rU/edit?usp=sharing"",""โฉนดM3!G84"")"),5)</f>
        <v>5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IFERROR(__xludf.DUMMYFUNCTION("IMPORTRANGE(""https://docs.google.com/spreadsheets/d/1awYsYK3VOup2i3Pq_Yjnu8DRu_mYwSBnCR2QPthd0rU/edit?usp=sharing"",""โฉนดM3!H84"")"),338)</f>
        <v>338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436105</v>
      </c>
      <c r="M356" s="132">
        <f ca="1">M357+M358</f>
        <v>436105</v>
      </c>
      <c r="N356" s="132">
        <f ca="1">N357+N358</f>
        <v>377191.24</v>
      </c>
      <c r="O356" s="132">
        <f t="shared" ref="O356:O364" ca="1" si="95">IF(L356&gt;0,N356*100/L356,0)</f>
        <v>86.490923057520547</v>
      </c>
      <c r="P356" s="132">
        <f t="shared" ref="P356:P364" ca="1" si="96">IF(M356&gt;0,N356*100/M356,0)</f>
        <v>86.490923057520547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436105</v>
      </c>
      <c r="M358" s="47">
        <f t="shared" ca="1" si="99"/>
        <v>436105</v>
      </c>
      <c r="N358" s="47">
        <f t="shared" ca="1" si="99"/>
        <v>377191.24</v>
      </c>
      <c r="O358" s="47">
        <f t="shared" ca="1" si="95"/>
        <v>86.490923057520547</v>
      </c>
      <c r="P358" s="47">
        <f t="shared" ca="1" si="96"/>
        <v>86.490923057520547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436105</v>
      </c>
      <c r="M359" s="47">
        <f ca="1">M360+M361</f>
        <v>436105</v>
      </c>
      <c r="N359" s="47">
        <f ca="1">N360+N361</f>
        <v>377191.24</v>
      </c>
      <c r="O359" s="47">
        <f t="shared" ca="1" si="95"/>
        <v>86.490923057520547</v>
      </c>
      <c r="P359" s="47">
        <f t="shared" ca="1" si="96"/>
        <v>86.490923057520547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IFERROR(__xludf.DUMMYFUNCTION("IMPORTRANGE(""https://docs.google.com/spreadsheets/d/1-uDff_7J0KD5mKrp0Vvzr7lt3OU09vwQwhkpOPPYv2Y/edit?usp=sharing"",""งบพรบ!FC84"")"),436105)</f>
        <v>436105</v>
      </c>
      <c r="M361" s="47">
        <f ca="1">IFERROR(__xludf.DUMMYFUNCTION("IMPORTRANGE(""https://docs.google.com/spreadsheets/d/1-uDff_7J0KD5mKrp0Vvzr7lt3OU09vwQwhkpOPPYv2Y/edit?usp=sharing"",""งบพรบ!FH84"")"),436105)</f>
        <v>436105</v>
      </c>
      <c r="N361" s="47">
        <f ca="1">IFERROR(__xludf.DUMMYFUNCTION("IMPORTRANGE(""https://docs.google.com/spreadsheets/d/1-uDff_7J0KD5mKrp0Vvzr7lt3OU09vwQwhkpOPPYv2Y/edit?usp=sharing"",""งบพรบ!FJ84"")"),377191.24)</f>
        <v>377191.24</v>
      </c>
      <c r="O361" s="47">
        <f t="shared" ca="1" si="95"/>
        <v>86.490923057520547</v>
      </c>
      <c r="P361" s="47">
        <f t="shared" ca="1" si="96"/>
        <v>86.490923057520547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59</v>
      </c>
      <c r="J365" s="228">
        <f ca="1">J371</f>
        <v>55</v>
      </c>
      <c r="K365" s="229">
        <f ca="1">IF(I365&gt;0,J365*100/I365,0)</f>
        <v>93.220338983050851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IFERROR(__xludf.DUMMYFUNCTION("IMPORTRANGE(""https://docs.google.com/spreadsheets/d/1tdoBKaGub7dwA3U6UFTqxio9LNnvDCQjHKmttSEBsFQ/edit?usp=sharing"",""จัดที่ดิน!AB84"")"),45)</f>
        <v>45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IFERROR(__xludf.DUMMYFUNCTION("IMPORTRANGE(""https://docs.google.com/spreadsheets/d/1eHaY18a8A9IcSdp1K8H6x8fbOy06t2VsZHhMHf-1x7Y/edit?usp=sharing"",""แผน!EW84"")"),360)</f>
        <v>360</v>
      </c>
      <c r="J368" s="584">
        <f ca="1">IFERROR(__xludf.DUMMYFUNCTION("IMPORTRANGE(""https://docs.google.com/spreadsheets/d/1tdoBKaGub7dwA3U6UFTqxio9LNnvDCQjHKmttSEBsFQ/edit?usp=sharing"",""จัดที่ดิน!AC84"")"),327.94)</f>
        <v>327.94</v>
      </c>
      <c r="K368" s="47">
        <f t="shared" ca="1" si="101"/>
        <v>91.094444444444449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IFERROR(__xludf.DUMMYFUNCTION("IMPORTRANGE(""https://docs.google.com/spreadsheets/d/1eHaY18a8A9IcSdp1K8H6x8fbOy06t2VsZHhMHf-1x7Y/edit?usp=sharing"",""แผน!EX84"")"),59)</f>
        <v>59</v>
      </c>
      <c r="J369" s="152">
        <f ca="1">IFERROR(__xludf.DUMMYFUNCTION("IMPORTRANGE(""https://docs.google.com/spreadsheets/d/1tdoBKaGub7dwA3U6UFTqxio9LNnvDCQjHKmttSEBsFQ/edit?usp=sharing"",""จัดที่ดิน!AD84"")"),96)</f>
        <v>96</v>
      </c>
      <c r="K369" s="47">
        <f t="shared" ca="1" si="101"/>
        <v>162.71186440677965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IFERROR(__xludf.DUMMYFUNCTION("IMPORTRANGE(""https://docs.google.com/spreadsheets/d/1tdoBKaGub7dwA3U6UFTqxio9LNnvDCQjHKmttSEBsFQ/edit?usp=sharing"",""จัดที่ดิน!AE84"")"),636.569999999999)</f>
        <v>636.56999999999903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IFERROR(__xludf.DUMMYFUNCTION("IMPORTRANGE(""https://docs.google.com/spreadsheets/d/1eHaY18a8A9IcSdp1K8H6x8fbOy06t2VsZHhMHf-1x7Y/edit?usp=sharing"",""แผน!EY84"")"),59)</f>
        <v>59</v>
      </c>
      <c r="J371" s="152">
        <f ca="1">IFERROR(__xludf.DUMMYFUNCTION("IMPORTRANGE(""https://docs.google.com/spreadsheets/d/1tdoBKaGub7dwA3U6UFTqxio9LNnvDCQjHKmttSEBsFQ/edit?usp=sharing"",""จัดที่ดิน!AF84"")"),55)</f>
        <v>55</v>
      </c>
      <c r="K371" s="47">
        <f t="shared" ca="1" si="101"/>
        <v>93.220338983050851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IFERROR(__xludf.DUMMYFUNCTION("IMPORTRANGE(""https://docs.google.com/spreadsheets/d/1tdoBKaGub7dwA3U6UFTqxio9LNnvDCQjHKmttSEBsFQ/edit?usp=sharing"",""จัดที่ดิน!AG84"")"),343.61)</f>
        <v>343.61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150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9375</v>
      </c>
      <c r="R377" s="47">
        <f t="shared" ca="1" si="107"/>
        <v>9375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9375</v>
      </c>
      <c r="R378" s="47">
        <f ca="1">R379+R380</f>
        <v>9375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IFERROR(__xludf.DUMMYFUNCTION("IMPORTRANGE(""https://docs.google.com/spreadsheets/d/1ItG2mGa2ceCfYo0BwxsXqNm01IGEUdYcSSLTEv9YCik/edit?usp=sharing"",""เบิกจ่ายกองทุน!AZ84"")"),9375)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IFERROR(__xludf.DUMMYFUNCTION("IMPORTRANGE(""https://docs.google.com/spreadsheets/d/1ItG2mGa2ceCfYo0BwxsXqNm01IGEUdYcSSLTEv9YCik/edit?usp=sharing"",""เบิกจ่ายกองทุน!BA84"")"),0)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IFERROR(__xludf.DUMMYFUNCTION("IMPORTRANGE(""https://docs.google.com/spreadsheets/d/1w5rwWK1o49a35cNtocGL0gxDwhFSTZUQu90BiH9_zqM/edit?usp=sharing"",""RTK!L84"")"),0)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IFERROR(__xludf.DUMMYFUNCTION("IMPORTRANGE(""https://docs.google.com/spreadsheets/d/1w5rwWK1o49a35cNtocGL0gxDwhFSTZUQu90BiH9_zqM/edit?usp=sharing"",""RTK!K84"")"),0)</f>
        <v>0</v>
      </c>
      <c r="J388" s="483">
        <f ca="1">IFERROR(__xludf.DUMMYFUNCTION("IMPORTRANGE(""https://docs.google.com/spreadsheets/d/1w5rwWK1o49a35cNtocGL0gxDwhFSTZUQu90BiH9_zqM/edit?usp=sharing"",""RTK!M84"")"),0)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IFERROR(__xludf.DUMMYFUNCTION("IMPORTRANGE(""https://docs.google.com/spreadsheets/d/1ItG2mGa2ceCfYo0BwxsXqNm01IGEUdYcSSLTEv9YCik/edit?usp=sharing"",""เบิกจ่ายกองทุน!BH84"")"),0)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IFERROR(__xludf.DUMMYFUNCTION("IMPORTRANGE(""https://docs.google.com/spreadsheets/d/1ItG2mGa2ceCfYo0BwxsXqNm01IGEUdYcSSLTEv9YCik/edit?usp=sharing"",""เบิกจ่ายกองทุน!BI84"")"),0)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IFERROR(__xludf.DUMMYFUNCTION("IMPORTRANGE(""https://docs.google.com/spreadsheets/d/1ItG2mGa2ceCfYo0BwxsXqNm01IGEUdYcSSLTEv9YCik/edit?usp=sharing"",""เบิกจ่ายกองทุน!BJ84"")"),0)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IFERROR(__xludf.DUMMYFUNCTION("IMPORTRANGE(""https://docs.google.com/spreadsheets/d/1eHaY18a8A9IcSdp1K8H6x8fbOy06t2VsZHhMHf-1x7Y/edit?usp=sharing"",""แผน!HN84"")"),0)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IFERROR(__xludf.DUMMYFUNCTION("IMPORTRANGE(""https://docs.google.com/spreadsheets/d/1eHaY18a8A9IcSdp1K8H6x8fbOy06t2VsZHhMHf-1x7Y/edit?usp=sharing"",""แผน!HO84"")"),0)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IFERROR(__xludf.DUMMYFUNCTION("IMPORTRANGE(""https://docs.google.com/spreadsheets/d/1ItG2mGa2ceCfYo0BwxsXqNm01IGEUdYcSSLTEv9YCik/edit?usp=sharing"",""เบิกจ่ายกองทุน!Z84"")"),0)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t="shared" ref="T616:T624" ca="1" si="159">IF(Q616&gt;0,S616*100/Q616,0)</f>
        <v>0</v>
      </c>
      <c r="U616" s="132">
        <f t="shared" ref="U616:U624" ca="1" si="160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6700</v>
      </c>
      <c r="R618" s="47">
        <f t="shared" ca="1" si="162"/>
        <v>6700</v>
      </c>
      <c r="S618" s="47">
        <f t="shared" ca="1" si="162"/>
        <v>0</v>
      </c>
      <c r="T618" s="47">
        <f t="shared" ca="1" si="159"/>
        <v>0</v>
      </c>
      <c r="U618" s="47">
        <f t="shared" ca="1" si="160"/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6700</v>
      </c>
      <c r="R619" s="47">
        <f ca="1">R620+R621</f>
        <v>6700</v>
      </c>
      <c r="S619" s="47">
        <f ca="1">S620+S621</f>
        <v>0</v>
      </c>
      <c r="T619" s="47">
        <f t="shared" ca="1" si="159"/>
        <v>0</v>
      </c>
      <c r="U619" s="47">
        <f t="shared" ca="1" si="160"/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t="shared" ca="1" si="159"/>
        <v>0</v>
      </c>
      <c r="U621" s="47">
        <f t="shared" ca="1" si="160"/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K627" s="47">
        <f ca="1">IF(I627&gt;0,(J628*100)/I627,0)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0</v>
      </c>
      <c r="K628" s="47">
        <f ca="1">IF(I628&gt;0,(#REF!*100)/I628,0)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32" t="s">
        <v>35</v>
      </c>
      <c r="I689" s="433">
        <f ca="1">I707</f>
        <v>31</v>
      </c>
      <c r="J689" s="43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135150</v>
      </c>
      <c r="R690" s="132">
        <f ca="1">R691+R692</f>
        <v>135150</v>
      </c>
      <c r="S690" s="132">
        <f ca="1">S691+S692</f>
        <v>7686.47</v>
      </c>
      <c r="T690" s="132">
        <f t="shared" ref="T690:T698" ca="1" si="171">IF(Q690&gt;0,S690*100/Q690,0)</f>
        <v>5.6873621901590825</v>
      </c>
      <c r="U690" s="132">
        <f t="shared" ref="U690:U698" ca="1" si="172">IF(R690&gt;0,S690*100/R690,0)</f>
        <v>5.6873621901590825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135150</v>
      </c>
      <c r="R692" s="47">
        <f t="shared" ca="1" si="174"/>
        <v>135150</v>
      </c>
      <c r="S692" s="47">
        <f t="shared" ca="1" si="174"/>
        <v>7686.47</v>
      </c>
      <c r="T692" s="47">
        <f t="shared" ca="1" si="171"/>
        <v>5.6873621901590825</v>
      </c>
      <c r="U692" s="47">
        <f t="shared" ca="1" si="172"/>
        <v>5.6873621901590825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135150</v>
      </c>
      <c r="R693" s="47">
        <f ca="1">R694+R695</f>
        <v>135150</v>
      </c>
      <c r="S693" s="47">
        <f ca="1">S694+S695</f>
        <v>7686.47</v>
      </c>
      <c r="T693" s="47">
        <f t="shared" ca="1" si="171"/>
        <v>5.6873621901590825</v>
      </c>
      <c r="U693" s="47">
        <f t="shared" ca="1" si="172"/>
        <v>5.6873621901590825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IFERROR(__xludf.DUMMYFUNCTION("IMPORTRANGE(""https://docs.google.com/spreadsheets/d/1ItG2mGa2ceCfYo0BwxsXqNm01IGEUdYcSSLTEv9YCik/edit?usp=sharing"",""เบิกจ่ายกองทุน!N84"")"),7686.47)</f>
        <v>7686.47</v>
      </c>
      <c r="T695" s="47">
        <f t="shared" ca="1" si="171"/>
        <v>5.6873621901590825</v>
      </c>
      <c r="U695" s="47">
        <f t="shared" ca="1" si="172"/>
        <v>5.6873621901590825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IFERROR(__xludf.DUMMYFUNCTION("IMPORTRANGE(""https://docs.google.com/spreadsheets/d/1eHaY18a8A9IcSdp1K8H6x8fbOy06t2VsZHhMHf-1x7Y/edit?usp=sharing"",""แผน!GA84"")"),11)</f>
        <v>11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IFERROR(__xludf.DUMMYFUNCTION("IMPORTRANGE(""https://docs.google.com/spreadsheets/d/1eHaY18a8A9IcSdp1K8H6x8fbOy06t2VsZHhMHf-1x7Y/edit?usp=sharing"",""แผน!FZ84"")"),100)</f>
        <v>100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0</v>
      </c>
      <c r="T728" s="132">
        <f t="shared" ref="T728:T736" ca="1" si="184">IF(Q728&gt;0,S728*100/Q728,0)</f>
        <v>0</v>
      </c>
      <c r="U728" s="132">
        <f t="shared" ref="U728:U736" ca="1" si="185">IF(R728&gt;0,S728*100/R728,0)</f>
        <v>0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111882</v>
      </c>
      <c r="R730" s="47">
        <f t="shared" ca="1" si="187"/>
        <v>111882</v>
      </c>
      <c r="S730" s="47">
        <f t="shared" ca="1" si="187"/>
        <v>0</v>
      </c>
      <c r="T730" s="47">
        <f t="shared" ca="1" si="184"/>
        <v>0</v>
      </c>
      <c r="U730" s="47">
        <f t="shared" ca="1" si="185"/>
        <v>0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0</v>
      </c>
      <c r="T731" s="47">
        <f t="shared" ca="1" si="184"/>
        <v>0</v>
      </c>
      <c r="U731" s="47">
        <f t="shared" ca="1" si="185"/>
        <v>0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IFERROR(__xludf.DUMMYFUNCTION("IMPORTRANGE(""https://docs.google.com/spreadsheets/d/1ItG2mGa2ceCfYo0BwxsXqNm01IGEUdYcSSLTEv9YCik/edit?usp=sharing"",""เบิกจ่ายกองทุน!Q84"")"),0)</f>
        <v>0</v>
      </c>
      <c r="T733" s="47">
        <f t="shared" ca="1" si="184"/>
        <v>0</v>
      </c>
      <c r="U733" s="47">
        <f t="shared" ca="1" si="185"/>
        <v>0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IFERROR(__xludf.DUMMYFUNCTION("IMPORTRANGE(""https://docs.google.com/spreadsheets/d/1eHaY18a8A9IcSdp1K8H6x8fbOy06t2VsZHhMHf-1x7Y/edit?usp=sharing"",""แผน!GB84"")"),80)</f>
        <v>80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IFERROR(__xludf.DUMMYFUNCTION("IMPORTRANGE(""https://docs.google.com/spreadsheets/d/1eHaY18a8A9IcSdp1K8H6x8fbOy06t2VsZHhMHf-1x7Y/edit?usp=sharing"",""แผน!GC84"")"),8)</f>
        <v>8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IFERROR(__xludf.DUMMYFUNCTION("IMPORTRANGE(""https://docs.google.com/spreadsheets/d/1eHaY18a8A9IcSdp1K8H6x8fbOy06t2VsZHhMHf-1x7Y/edit?usp=sharing"",""แผน!GD84"")"),20)</f>
        <v>20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IFERROR(__xludf.DUMMYFUNCTION("IMPORTRANGE(""https://docs.google.com/spreadsheets/d/1eHaY18a8A9IcSdp1K8H6x8fbOy06t2VsZHhMHf-1x7Y/edit?usp=sharing"",""แผน!GE84"")"),2)</f>
        <v>2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IFERROR(__xludf.DUMMYFUNCTION("IMPORTRANGE(""https://docs.google.com/spreadsheets/d/1eHaY18a8A9IcSdp1K8H6x8fbOy06t2VsZHhMHf-1x7Y/edit?usp=sharing"",""แผน!GF84"")"),1)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IFERROR(__xludf.DUMMYFUNCTION("IMPORTRANGE(""https://docs.google.com/spreadsheets/d/1eHaY18a8A9IcSdp1K8H6x8fbOy06t2VsZHhMHf-1x7Y/edit?usp=sharing"",""แผน!GB84"")"),80)</f>
        <v>80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IFERROR(__xludf.DUMMYFUNCTION("IMPORTRANGE(""https://docs.google.com/spreadsheets/d/1eHaY18a8A9IcSdp1K8H6x8fbOy06t2VsZHhMHf-1x7Y/edit?usp=sharing"",""แผน!GD84"")"),20)</f>
        <v>20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IFERROR(__xludf.DUMMYFUNCTION("IMPORTRANGE(""https://docs.google.com/spreadsheets/d/1ItG2mGa2ceCfYo0BwxsXqNm01IGEUdYcSSLTEv9YCik/edit?usp=sharing"",""เบิกจ่ายกองทุน!W84"")"),0)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IFERROR(__xludf.DUMMYFUNCTION("IMPORTRANGE(""https://docs.google.com/spreadsheets/d/1eHaY18a8A9IcSdp1K8H6x8fbOy06t2VsZHhMHf-1x7Y/edit?usp=sharing"",""แผน!FI84"")"),0)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IFERROR(__xludf.DUMMYFUNCTION("IMPORTRANGE(""https://docs.google.com/spreadsheets/d/10OvvATaaLtwErnr3qtWFcTmtbfpFEt5Bsqel9sXx0uE/edit?usp=sharing"",""งานกองทุน!F84"")"),210401.18)</f>
        <v>210401.18</v>
      </c>
      <c r="K778" s="47">
        <f t="shared" ref="K778:K785" ca="1" si="194">IF(I778&gt;0,J778*100/I778,0)</f>
        <v>45.865084208062122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IFERROR(__xludf.DUMMYFUNCTION("IMPORTRANGE(""https://docs.google.com/spreadsheets/d/10OvvATaaLtwErnr3qtWFcTmtbfpFEt5Bsqel9sXx0uE/edit?usp=sharing"",""งานกองทุน!E84"")"),21)</f>
        <v>21</v>
      </c>
      <c r="K779" s="47">
        <f t="shared" ca="1" si="194"/>
        <v>45.652173913043477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t="shared" ca="1" si="194"/>
        <v>100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t="shared" ca="1" si="194"/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IFERROR(__xludf.DUMMYFUNCTION("IMPORTRANGE(""https://docs.google.com/spreadsheets/d/10OvvATaaLtwErnr3qtWFcTmtbfpFEt5Bsqel9sXx0uE/edit?usp=sharing"",""งานกองทุน!P84"")"),22837.61)</f>
        <v>22837.61</v>
      </c>
      <c r="K782" s="47">
        <f t="shared" ca="1" si="194"/>
        <v>35.579478836952752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IFERROR(__xludf.DUMMYFUNCTION("IMPORTRANGE(""https://docs.google.com/spreadsheets/d/10OvvATaaLtwErnr3qtWFcTmtbfpFEt5Bsqel9sXx0uE/edit?usp=sharing"",""งานกองทุน!O84"")"),64)</f>
        <v>64</v>
      </c>
      <c r="K783" s="47">
        <f t="shared" ca="1" si="194"/>
        <v>42.95302013422819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t="shared" ca="1" si="194"/>
        <v>102.04081632653062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t="shared" ca="1" si="194"/>
        <v>57.142857142857146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CB42-D290-4C30-BA41-EF12100BF6F6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18.710937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1368850</v>
      </c>
      <c r="M18" s="35">
        <f ca="1">M19+M20</f>
        <v>1397928</v>
      </c>
      <c r="N18" s="35">
        <f ca="1">N19+N20</f>
        <v>1078662.6199999999</v>
      </c>
      <c r="O18" s="35">
        <f t="shared" ref="O18:O26" ca="1" si="0">IF(L18&gt;0,N18*100/L18,0)</f>
        <v>78.800644336486826</v>
      </c>
      <c r="P18" s="35">
        <f t="shared" ref="P18:P26" ca="1" si="1">IF(M18&gt;0,N18*100/M18,0)</f>
        <v>77.161529063013248</v>
      </c>
      <c r="Q18" s="35">
        <f ca="1">Q19+Q20</f>
        <v>845565</v>
      </c>
      <c r="R18" s="35">
        <f ca="1">R19+R20</f>
        <v>845565</v>
      </c>
      <c r="S18" s="35">
        <f ca="1">S19+S20</f>
        <v>60070.009999999995</v>
      </c>
      <c r="T18" s="35">
        <f t="shared" ref="T18:T26" ca="1" si="2">IF(Q18&gt;0,S18*100/Q18,0)</f>
        <v>7.1041268264414903</v>
      </c>
      <c r="U18" s="35">
        <f t="shared" ref="U18:U26" ca="1" si="3">IF(R18&gt;0,S18*100/R18,0)</f>
        <v>7.1041268264414903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1368850</v>
      </c>
      <c r="M20" s="39">
        <f t="shared" ca="1" si="4"/>
        <v>1397928</v>
      </c>
      <c r="N20" s="39">
        <f t="shared" ca="1" si="4"/>
        <v>1078662.6199999999</v>
      </c>
      <c r="O20" s="39">
        <f t="shared" ca="1" si="0"/>
        <v>78.800644336486826</v>
      </c>
      <c r="P20" s="39">
        <f t="shared" ca="1" si="1"/>
        <v>77.161529063013248</v>
      </c>
      <c r="Q20" s="39">
        <f t="shared" ca="1" si="5"/>
        <v>845565</v>
      </c>
      <c r="R20" s="39">
        <f t="shared" ca="1" si="5"/>
        <v>845565</v>
      </c>
      <c r="S20" s="39">
        <f t="shared" ca="1" si="5"/>
        <v>60070.009999999995</v>
      </c>
      <c r="T20" s="39">
        <f t="shared" ca="1" si="2"/>
        <v>7.1041268264414903</v>
      </c>
      <c r="U20" s="39">
        <f t="shared" ca="1" si="3"/>
        <v>7.1041268264414903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1368850</v>
      </c>
      <c r="M21" s="47">
        <f ca="1">M22+M23</f>
        <v>1397928</v>
      </c>
      <c r="N21" s="47">
        <f ca="1">N22+N23</f>
        <v>1078662.6199999999</v>
      </c>
      <c r="O21" s="47">
        <f t="shared" ca="1" si="0"/>
        <v>78.800644336486826</v>
      </c>
      <c r="P21" s="47">
        <f t="shared" ca="1" si="1"/>
        <v>77.161529063013248</v>
      </c>
      <c r="Q21" s="47">
        <f ca="1">Q22+Q23</f>
        <v>845565</v>
      </c>
      <c r="R21" s="47">
        <f ca="1">R22+R23</f>
        <v>845565</v>
      </c>
      <c r="S21" s="47">
        <f ca="1">S22+S23</f>
        <v>60070.009999999995</v>
      </c>
      <c r="T21" s="47">
        <f t="shared" ca="1" si="2"/>
        <v>7.1041268264414903</v>
      </c>
      <c r="U21" s="47">
        <f t="shared" ca="1" si="3"/>
        <v>7.1041268264414903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1368850</v>
      </c>
      <c r="M23" s="47">
        <f t="shared" ca="1" si="6"/>
        <v>1397928</v>
      </c>
      <c r="N23" s="47">
        <f t="shared" ca="1" si="6"/>
        <v>1078662.6199999999</v>
      </c>
      <c r="O23" s="47">
        <f t="shared" ca="1" si="0"/>
        <v>78.800644336486826</v>
      </c>
      <c r="P23" s="47">
        <f t="shared" ca="1" si="1"/>
        <v>77.161529063013248</v>
      </c>
      <c r="Q23" s="47">
        <f t="shared" ca="1" si="7"/>
        <v>845565</v>
      </c>
      <c r="R23" s="47">
        <f t="shared" ca="1" si="7"/>
        <v>845565</v>
      </c>
      <c r="S23" s="47">
        <f t="shared" ca="1" si="7"/>
        <v>60070.009999999995</v>
      </c>
      <c r="T23" s="47">
        <f t="shared" ca="1" si="2"/>
        <v>7.1041268264414903</v>
      </c>
      <c r="U23" s="47">
        <f t="shared" ca="1" si="3"/>
        <v>7.1041268264414903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1368850</v>
      </c>
      <c r="M40" s="703">
        <f ca="1">M44+M59+M72+M94+M125+M139+M157+M173+M186+M266+M282+M303+M320+M333+M356</f>
        <v>1397928</v>
      </c>
      <c r="N40" s="703">
        <f ca="1">N44+N59+N72+N94+N125+N139+N157+N173+N186+N266+N282+N303+N320+N333+N356</f>
        <v>1078662.6199999999</v>
      </c>
      <c r="O40" s="703">
        <f ca="1">IF(L40&gt;0,N40*100/L40,0)</f>
        <v>78.800644336486826</v>
      </c>
      <c r="P40" s="703">
        <f ca="1">IF(M40&gt;0,N40*100/M40,0)</f>
        <v>77.161529063013248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134400</v>
      </c>
      <c r="M44" s="79">
        <f ca="1">M45+M46</f>
        <v>150418</v>
      </c>
      <c r="N44" s="79">
        <f ca="1">N45+N46</f>
        <v>90676</v>
      </c>
      <c r="O44" s="79">
        <f t="shared" ref="O44:O52" ca="1" si="10">IF(L44&gt;0,N44*100/L44,0)</f>
        <v>67.467261904761898</v>
      </c>
      <c r="P44" s="79">
        <f t="shared" ref="P44:P52" ca="1" si="11">IF(M44&gt;0,N44*100/M44,0)</f>
        <v>60.282678934701963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134400</v>
      </c>
      <c r="M46" s="83">
        <f t="shared" ca="1" si="14"/>
        <v>150418</v>
      </c>
      <c r="N46" s="83">
        <f t="shared" ca="1" si="14"/>
        <v>90676</v>
      </c>
      <c r="O46" s="83">
        <f t="shared" ca="1" si="10"/>
        <v>67.467261904761898</v>
      </c>
      <c r="P46" s="83">
        <f t="shared" ca="1" si="11"/>
        <v>60.282678934701963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134400</v>
      </c>
      <c r="M47" s="47">
        <f ca="1">M48+M49</f>
        <v>150418</v>
      </c>
      <c r="N47" s="47">
        <f ca="1">N48+N49</f>
        <v>90676</v>
      </c>
      <c r="O47" s="47">
        <f t="shared" ca="1" si="10"/>
        <v>67.467261904761898</v>
      </c>
      <c r="P47" s="47">
        <f t="shared" ca="1" si="11"/>
        <v>60.282678934701963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IFERROR(__xludf.DUMMYFUNCTION("IMPORTRANGE(""https://docs.google.com/spreadsheets/d/1-uDff_7J0KD5mKrp0Vvzr7lt3OU09vwQwhkpOPPYv2Y/edit?usp=sharing"",""งบพรบ!P85"")"),134400)</f>
        <v>134400</v>
      </c>
      <c r="M49" s="47">
        <f ca="1">IFERROR(__xludf.DUMMYFUNCTION("IMPORTRANGE(""https://docs.google.com/spreadsheets/d/1-uDff_7J0KD5mKrp0Vvzr7lt3OU09vwQwhkpOPPYv2Y/edit?usp=sharing"",""งบพรบ!V85"")"),150418)</f>
        <v>150418</v>
      </c>
      <c r="N49" s="47">
        <f ca="1">IFERROR(__xludf.DUMMYFUNCTION("IMPORTRANGE(""https://docs.google.com/spreadsheets/d/1-uDff_7J0KD5mKrp0Vvzr7lt3OU09vwQwhkpOPPYv2Y/edit?usp=sharing"",""งบพรบ!Y85"")"),90676)</f>
        <v>90676</v>
      </c>
      <c r="O49" s="47">
        <f t="shared" ca="1" si="10"/>
        <v>67.467261904761898</v>
      </c>
      <c r="P49" s="47">
        <f t="shared" ca="1" si="11"/>
        <v>60.282678934701963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435600</v>
      </c>
      <c r="M59" s="106">
        <f ca="1">M60+M61</f>
        <v>436100</v>
      </c>
      <c r="N59" s="106">
        <f ca="1">N60+N61</f>
        <v>346333.07</v>
      </c>
      <c r="O59" s="106">
        <f t="shared" ref="O59:O67" ca="1" si="16">IF(L59&gt;0,N59*100/L59,0)</f>
        <v>79.507132690541781</v>
      </c>
      <c r="P59" s="106">
        <f t="shared" ref="P59:P67" ca="1" si="17">IF(M59&gt;0,N59*100/M59,0)</f>
        <v>79.415975693648249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435600</v>
      </c>
      <c r="M61" s="109">
        <f t="shared" ca="1" si="20"/>
        <v>436100</v>
      </c>
      <c r="N61" s="109">
        <f t="shared" ca="1" si="20"/>
        <v>346333.07</v>
      </c>
      <c r="O61" s="109">
        <f t="shared" ca="1" si="16"/>
        <v>79.507132690541781</v>
      </c>
      <c r="P61" s="109">
        <f t="shared" ca="1" si="17"/>
        <v>79.415975693648249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435600</v>
      </c>
      <c r="M62" s="47">
        <f ca="1">M63+M64</f>
        <v>436100</v>
      </c>
      <c r="N62" s="47">
        <f ca="1">N63+N64</f>
        <v>346333.07</v>
      </c>
      <c r="O62" s="47">
        <f t="shared" ca="1" si="16"/>
        <v>79.507132690541781</v>
      </c>
      <c r="P62" s="47">
        <f t="shared" ca="1" si="17"/>
        <v>79.415975693648249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IFERROR(__xludf.DUMMYFUNCTION("IMPORTRANGE(""https://docs.google.com/spreadsheets/d/1-uDff_7J0KD5mKrp0Vvzr7lt3OU09vwQwhkpOPPYv2Y/edit?usp=sharing"",""งบพรบ!AC85"")"),435600)</f>
        <v>435600</v>
      </c>
      <c r="M64" s="47">
        <f ca="1">IFERROR(__xludf.DUMMYFUNCTION("IMPORTRANGE(""https://docs.google.com/spreadsheets/d/1-uDff_7J0KD5mKrp0Vvzr7lt3OU09vwQwhkpOPPYv2Y/edit?usp=sharing"",""งบพรบ!AH85"")"),436100)</f>
        <v>436100</v>
      </c>
      <c r="N64" s="47">
        <f ca="1">IFERROR(__xludf.DUMMYFUNCTION("IMPORTRANGE(""https://docs.google.com/spreadsheets/d/1-uDff_7J0KD5mKrp0Vvzr7lt3OU09vwQwhkpOPPYv2Y/edit?usp=sharing"",""งบพรบ!AJ85"")"),346333.07)</f>
        <v>346333.07</v>
      </c>
      <c r="O64" s="47">
        <f t="shared" ca="1" si="16"/>
        <v>79.507132690541781</v>
      </c>
      <c r="P64" s="47">
        <f t="shared" ca="1" si="17"/>
        <v>79.415975693648249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IFERROR(__xludf.DUMMYFUNCTION("IMPORTRANGE(""https://docs.google.com/spreadsheets/d/1-uDff_7J0KD5mKrp0Vvzr7lt3OU09vwQwhkpOPPYv2Y/edit?usp=sharing"",""งบพรบ!AF85"")"),0)</f>
        <v>0</v>
      </c>
      <c r="M67" s="111">
        <f ca="1">IFERROR(__xludf.DUMMYFUNCTION("IMPORTRANGE(""https://docs.google.com/spreadsheets/d/1-uDff_7J0KD5mKrp0Vvzr7lt3OU09vwQwhkpOPPYv2Y/edit?usp=sharing"",""งบพรบ!AI85"")"),0)</f>
        <v>0</v>
      </c>
      <c r="N67" s="111">
        <f ca="1">IFERROR(__xludf.DUMMYFUNCTION("IMPORTRANGE(""https://docs.google.com/spreadsheets/d/1-uDff_7J0KD5mKrp0Vvzr7lt3OU09vwQwhkpOPPYv2Y/edit?usp=sharing"",""งบพรบ!AK85"")"),0)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IFERROR(__xludf.DUMMYFUNCTION("IMPORTRANGE(""https://docs.google.com/spreadsheets/d/1ItG2mGa2ceCfYo0BwxsXqNm01IGEUdYcSSLTEv9YCik/edit?usp=sharing"",""เบิกจ่ายกองทุน!AS85"")"),0)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IFERROR(__xludf.DUMMYFUNCTION("IMPORTRANGE(""https://docs.google.com/spreadsheets/d/1ItG2mGa2ceCfYo0BwxsXqNm01IGEUdYcSSLTEv9YCik/edit?usp=sharing"",""เบิกจ่ายกองทุน!AT85"")"),0)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IFERROR(__xludf.DUMMYFUNCTION("IMPORTRANGE(""https://docs.google.com/spreadsheets/d/1ItG2mGa2ceCfYo0BwxsXqNm01IGEUdYcSSLTEv9YCik/edit?usp=sharing"",""เบิกจ่ายกองทุน!AU85"")"),0)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IFERROR(__xludf.DUMMYFUNCTION("IMPORTRANGE(""https://docs.google.com/spreadsheets/d/1ItG2mGa2ceCfYo0BwxsXqNm01IGEUdYcSSLTEv9YCik/edit?usp=sharing"",""เบิกจ่ายกองทุน!AE85"")"),0)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IFERROR(__xludf.DUMMYFUNCTION("IMPORTRANGE(""https://docs.google.com/spreadsheets/d/1ItG2mGa2ceCfYo0BwxsXqNm01IGEUdYcSSLTEv9YCik/edit?usp=sharing"",""เบิกจ่ายกองทุน!AF85"")"),0)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18600</v>
      </c>
      <c r="T117" s="132">
        <f t="shared" ref="T117:T125" ca="1" si="37">IF(Q117&gt;0,S117*100/Q117,0)</f>
        <v>9.7148229395173935</v>
      </c>
      <c r="U117" s="132">
        <f t="shared" ref="U117:U125" ca="1" si="38">IF(R117&gt;0,S117*100/R117,0)</f>
        <v>9.7148229395173935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191460</v>
      </c>
      <c r="R119" s="47">
        <f t="shared" ca="1" si="40"/>
        <v>191460</v>
      </c>
      <c r="S119" s="47">
        <f t="shared" ca="1" si="40"/>
        <v>18600</v>
      </c>
      <c r="T119" s="47">
        <f t="shared" ca="1" si="37"/>
        <v>9.7148229395173935</v>
      </c>
      <c r="U119" s="47">
        <f t="shared" ca="1" si="38"/>
        <v>9.7148229395173935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18600</v>
      </c>
      <c r="T120" s="47">
        <f t="shared" ca="1" si="37"/>
        <v>9.7148229395173935</v>
      </c>
      <c r="U120" s="47">
        <f t="shared" ca="1" si="38"/>
        <v>9.7148229395173935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IFERROR(__xludf.DUMMYFUNCTION("IMPORTRANGE(""https://docs.google.com/spreadsheets/d/1ItG2mGa2ceCfYo0BwxsXqNm01IGEUdYcSSLTEv9YCik/edit?usp=sharing"",""เบิกจ่ายกองทุน!S85"")"),191460)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IFERROR(__xludf.DUMMYFUNCTION("IMPORTRANGE(""https://docs.google.com/spreadsheets/d/1ItG2mGa2ceCfYo0BwxsXqNm01IGEUdYcSSLTEv9YCik/edit?usp=sharing"",""เบิกจ่ายกองทุน!T85"")"),18600)</f>
        <v>18600</v>
      </c>
      <c r="T122" s="47">
        <f t="shared" ca="1" si="37"/>
        <v>9.7148229395173935</v>
      </c>
      <c r="U122" s="47">
        <f t="shared" ca="1" si="38"/>
        <v>9.7148229395173935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0</v>
      </c>
      <c r="K127" s="47">
        <f ca="1">IF(I127&gt;0,J127*100/I127,0)</f>
        <v>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0</v>
      </c>
      <c r="K129" s="47">
        <f ca="1">IF(I129&gt;0,J129*100/I129,0)</f>
        <v>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66500</v>
      </c>
      <c r="M139" s="132">
        <f ca="1">M140+M141</f>
        <v>61500</v>
      </c>
      <c r="N139" s="132">
        <f ca="1">N140+N141</f>
        <v>21320</v>
      </c>
      <c r="O139" s="132">
        <f t="shared" ref="O139:O147" ca="1" si="41">IF(L139&gt;0,N139*100/L139,0)</f>
        <v>32.060150375939848</v>
      </c>
      <c r="P139" s="132">
        <f t="shared" ref="P139:P147" ca="1" si="42">IF(M139&gt;0,N139*100/M139,0)</f>
        <v>34.666666666666664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66500</v>
      </c>
      <c r="M141" s="47">
        <f t="shared" ca="1" si="45"/>
        <v>61500</v>
      </c>
      <c r="N141" s="47">
        <f t="shared" ca="1" si="45"/>
        <v>21320</v>
      </c>
      <c r="O141" s="47">
        <f t="shared" ca="1" si="41"/>
        <v>32.060150375939848</v>
      </c>
      <c r="P141" s="47">
        <f t="shared" ca="1" si="42"/>
        <v>34.666666666666664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66500</v>
      </c>
      <c r="M142" s="47">
        <f ca="1">M143+M144</f>
        <v>61500</v>
      </c>
      <c r="N142" s="47">
        <f ca="1">N143+N144</f>
        <v>21320</v>
      </c>
      <c r="O142" s="47">
        <f t="shared" ca="1" si="41"/>
        <v>32.060150375939848</v>
      </c>
      <c r="P142" s="47">
        <f t="shared" ca="1" si="42"/>
        <v>34.666666666666664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IFERROR(__xludf.DUMMYFUNCTION("IMPORTRANGE(""https://docs.google.com/spreadsheets/d/1-uDff_7J0KD5mKrp0Vvzr7lt3OU09vwQwhkpOPPYv2Y/edit?usp=sharing"",""งบพรบ!BX85"")"),21320)</f>
        <v>21320</v>
      </c>
      <c r="O144" s="47">
        <f t="shared" ca="1" si="41"/>
        <v>32.060150375939848</v>
      </c>
      <c r="P144" s="47">
        <f t="shared" ca="1" si="42"/>
        <v>34.666666666666664</v>
      </c>
      <c r="Q144" s="47">
        <f ca="1">IFERROR(__xludf.DUMMYFUNCTION("IMPORTRANGE(""https://docs.google.com/spreadsheets/d/1ItG2mGa2ceCfYo0BwxsXqNm01IGEUdYcSSLTEv9YCik/edit?usp=sharing"",""เบิกจ่ายกองทุน!BB85"")"),0)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IFERROR(__xludf.DUMMYFUNCTION("IMPORTRANGE(""https://docs.google.com/spreadsheets/d/1ItG2mGa2ceCfYo0BwxsXqNm01IGEUdYcSSLTEv9YCik/edit?usp=sharing"",""เบิกจ่ายกองทุน!BC85"")"),0)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IFERROR(__xludf.DUMMYFUNCTION("IMPORTRANGE(""https://docs.google.com/spreadsheets/d/1ItG2mGa2ceCfYo0BwxsXqNm01IGEUdYcSSLTEv9YCik/edit?usp=sharing"",""เบิกจ่ายกองทุน!BD85"")"),0)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IFERROR(__xludf.DUMMYFUNCTION("IMPORTRANGE(""https://docs.google.com/spreadsheets/d/1ItG2mGa2ceCfYo0BwxsXqNm01IGEUdYcSSLTEv9YCik/edit?usp=sharing"",""เบิกจ่ายกองทุน!AI85"")"),0)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IFERROR(__xludf.DUMMYFUNCTION("IMPORTRANGE(""https://docs.google.com/spreadsheets/d/1eHaY18a8A9IcSdp1K8H6x8fbOy06t2VsZHhMHf-1x7Y/edit?usp=sharing"",""แผน!Z85"")"),0)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IFERROR(__xludf.DUMMYFUNCTION("IMPORTRANGE(""https://docs.google.com/spreadsheets/d/1eHaY18a8A9IcSdp1K8H6x8fbOy06t2VsZHhMHf-1x7Y/edit?usp=sharing"",""แผน!Z85"")"),0)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t="shared" ref="O173:O181" ca="1" si="53">IF(L173&gt;0,N173*100/L173,0)</f>
        <v>176.83001531393569</v>
      </c>
      <c r="P173" s="132">
        <f t="shared" ref="P173:P181" ca="1" si="54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35150</v>
      </c>
      <c r="N175" s="47">
        <f t="shared" ca="1" si="57"/>
        <v>34641</v>
      </c>
      <c r="O175" s="47">
        <f t="shared" ca="1" si="53"/>
        <v>176.83001531393569</v>
      </c>
      <c r="P175" s="47">
        <f t="shared" ca="1" si="54"/>
        <v>98.551920341394023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t="shared" ca="1" si="53"/>
        <v>176.83001531393569</v>
      </c>
      <c r="P176" s="47">
        <f t="shared" ca="1" si="54"/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t="shared" ca="1" si="53"/>
        <v>176.83001531393569</v>
      </c>
      <c r="P178" s="47">
        <f t="shared" ca="1" si="54"/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IFERROR(__xludf.DUMMYFUNCTION("IMPORTRANGE(""https://docs.google.com/spreadsheets/d/1ItG2mGa2ceCfYo0BwxsXqNm01IGEUdYcSSLTEv9YCik/edit?usp=sharing"",""เบิกจ่ายกองทุน!BE85"")"),0)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IFERROR(__xludf.DUMMYFUNCTION("IMPORTRANGE(""https://docs.google.com/spreadsheets/d/1ItG2mGa2ceCfYo0BwxsXqNm01IGEUdYcSSLTEv9YCik/edit?usp=sharing"",""เบิกจ่ายกองทุน!BG85"")"),0)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270600</v>
      </c>
      <c r="M186" s="132">
        <f ca="1">M187+M188</f>
        <v>262600</v>
      </c>
      <c r="N186" s="132">
        <f ca="1">N187+N188</f>
        <v>216927.54</v>
      </c>
      <c r="O186" s="132">
        <f t="shared" ref="O186:O194" ca="1" si="59">IF(L186&gt;0,N186*100/L186,0)</f>
        <v>80.165388026607545</v>
      </c>
      <c r="P186" s="132">
        <f t="shared" ref="P186:P194" ca="1" si="60">IF(M186&gt;0,N186*100/M186,0)</f>
        <v>82.607593297791311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270600</v>
      </c>
      <c r="M188" s="47">
        <f t="shared" ca="1" si="63"/>
        <v>262600</v>
      </c>
      <c r="N188" s="47">
        <f t="shared" ca="1" si="63"/>
        <v>216927.54</v>
      </c>
      <c r="O188" s="47">
        <f t="shared" ca="1" si="59"/>
        <v>80.165388026607545</v>
      </c>
      <c r="P188" s="47">
        <f t="shared" ca="1" si="60"/>
        <v>82.607593297791311</v>
      </c>
      <c r="Q188" s="47">
        <f t="shared" ca="1" si="64"/>
        <v>28000</v>
      </c>
      <c r="R188" s="47">
        <f t="shared" ca="1" si="64"/>
        <v>28000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270600</v>
      </c>
      <c r="M189" s="47">
        <f ca="1">M190+M191</f>
        <v>262600</v>
      </c>
      <c r="N189" s="47">
        <f ca="1">N190+N191</f>
        <v>216927.54</v>
      </c>
      <c r="O189" s="47">
        <f t="shared" ca="1" si="59"/>
        <v>80.165388026607545</v>
      </c>
      <c r="P189" s="47">
        <f t="shared" ca="1" si="60"/>
        <v>82.607593297791311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IFERROR(__xludf.DUMMYFUNCTION("IMPORTRANGE(""https://docs.google.com/spreadsheets/d/1-uDff_7J0KD5mKrp0Vvzr7lt3OU09vwQwhkpOPPYv2Y/edit?usp=sharing"",""งบพรบ!CU85"")"),270600)</f>
        <v>270600</v>
      </c>
      <c r="M191" s="47">
        <f ca="1">IFERROR(__xludf.DUMMYFUNCTION("IMPORTRANGE(""https://docs.google.com/spreadsheets/d/1-uDff_7J0KD5mKrp0Vvzr7lt3OU09vwQwhkpOPPYv2Y/edit?usp=sharing"",""งบพรบ!CZ85"")"),262600)</f>
        <v>262600</v>
      </c>
      <c r="N191" s="47">
        <f ca="1">IFERROR(__xludf.DUMMYFUNCTION("IMPORTRANGE(""https://docs.google.com/spreadsheets/d/1-uDff_7J0KD5mKrp0Vvzr7lt3OU09vwQwhkpOPPYv2Y/edit?usp=sharing"",""งบพรบ!DB85"")"),216927.54)</f>
        <v>216927.54</v>
      </c>
      <c r="O191" s="47">
        <f t="shared" ca="1" si="59"/>
        <v>80.165388026607545</v>
      </c>
      <c r="P191" s="47">
        <f t="shared" ca="1" si="60"/>
        <v>82.607593297791311</v>
      </c>
      <c r="Q191" s="47">
        <f ca="1">IFERROR(__xludf.DUMMYFUNCTION("IMPORTRANGE(""https://docs.google.com/spreadsheets/d/1ItG2mGa2ceCfYo0BwxsXqNm01IGEUdYcSSLTEv9YCik/edit?usp=sharing"",""เบิกจ่ายกองทุน!AV85"")"),28000)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IFERROR(__xludf.DUMMYFUNCTION("IMPORTRANGE(""https://docs.google.com/spreadsheets/d/1ItG2mGa2ceCfYo0BwxsXqNm01IGEUdYcSSLTEv9YCik/edit?usp=sharing"",""เบิกจ่ายกองทุน!AW85"")"),28000)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IFERROR(__xludf.DUMMYFUNCTION("IMPORTRANGE(""https://docs.google.com/spreadsheets/d/1ItG2mGa2ceCfYo0BwxsXqNm01IGEUdYcSSLTEv9YCik/edit?usp=sharing"",""เบิกจ่ายกองทุน!AX85"")"),0)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1</v>
      </c>
      <c r="K195" s="229">
        <f ca="1">IF(I195&gt;0,J195*100/I195,0)</f>
        <v>25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1</v>
      </c>
      <c r="K198" s="47">
        <f ca="1">IF(I198&gt;0,J198*100/I198,0)</f>
        <v>25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28000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IFERROR(__xludf.DUMMYFUNCTION("IMPORTRANGE(""https://docs.google.com/spreadsheets/d/1eHaY18a8A9IcSdp1K8H6x8fbOy06t2VsZHhMHf-1x7Y/edit?usp=sharing"",""แผน!AG85"")"),1000)</f>
        <v>1000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IFERROR(__xludf.DUMMYFUNCTION("IMPORTRANGE(""https://docs.google.com/spreadsheets/d/1eHaY18a8A9IcSdp1K8H6x8fbOy06t2VsZHhMHf-1x7Y/edit?usp=sharing"",""แผน!AH85"")"),0)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IFERROR(__xludf.DUMMYFUNCTION("IMPORTRANGE(""https://docs.google.com/spreadsheets/d/1eHaY18a8A9IcSdp1K8H6x8fbOy06t2VsZHhMHf-1x7Y/edit?usp=sharing"",""แผน!AI85"")"),0)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IFERROR(__xludf.DUMMYFUNCTION("IMPORTRANGE(""https://docs.google.com/spreadsheets/d/1eHaY18a8A9IcSdp1K8H6x8fbOy06t2VsZHhMHf-1x7Y/edit?usp=sharing"",""แผน!AJ85"")"),4000)</f>
        <v>4000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IFERROR(__xludf.DUMMYFUNCTION("IMPORTRANGE(""https://docs.google.com/spreadsheets/d/1eHaY18a8A9IcSdp1K8H6x8fbOy06t2VsZHhMHf-1x7Y/edit?usp=sharing"",""แผน!AM85"")"),0)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IFERROR(__xludf.DUMMYFUNCTION("IMPORTRANGE(""https://docs.google.com/spreadsheets/d/1eHaY18a8A9IcSdp1K8H6x8fbOy06t2VsZHhMHf-1x7Y/edit?usp=sharing"",""แผน!AN85"")"),0)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IFERROR(__xludf.DUMMYFUNCTION("IMPORTRANGE(""https://docs.google.com/spreadsheets/d/1eHaY18a8A9IcSdp1K8H6x8fbOy06t2VsZHhMHf-1x7Y/edit?usp=sharing"",""แผน!AO85"")"),0)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IFERROR(__xludf.DUMMYFUNCTION("IMPORTRANGE(""https://docs.google.com/spreadsheets/d/1eHaY18a8A9IcSdp1K8H6x8fbOy06t2VsZHhMHf-1x7Y/edit?usp=sharing"",""แผน!LY85"")"),0)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IFERROR(__xludf.DUMMYFUNCTION("IMPORTRANGE(""https://docs.google.com/spreadsheets/d/1eHaY18a8A9IcSdp1K8H6x8fbOy06t2VsZHhMHf-1x7Y/edit?usp=sharing"",""แผน!AR85"")"),2500)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IFERROR(__xludf.DUMMYFUNCTION("IMPORTRANGE(""https://docs.google.com/spreadsheets/d/1eHaY18a8A9IcSdp1K8H6x8fbOy06t2VsZHhMHf-1x7Y/edit?usp=sharing"",""แผน!AS85"")"),2000)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IFERROR(__xludf.DUMMYFUNCTION("IMPORTRANGE(""https://docs.google.com/spreadsheets/d/1eHaY18a8A9IcSdp1K8H6x8fbOy06t2VsZHhMHf-1x7Y/edit?usp=sharing"",""แผน!AT85"")"),0)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IFERROR(__xludf.DUMMYFUNCTION("IMPORTRANGE(""https://docs.google.com/spreadsheets/d/1eHaY18a8A9IcSdp1K8H6x8fbOy06t2VsZHhMHf-1x7Y/edit?usp=sharing"",""แผน!AX85"")"),0)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IFERROR(__xludf.DUMMYFUNCTION("IMPORTRANGE(""https://docs.google.com/spreadsheets/d/1eHaY18a8A9IcSdp1K8H6x8fbOy06t2VsZHhMHf-1x7Y/edit?usp=sharing"",""แผน!AY85"")"),0)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IFERROR(__xludf.DUMMYFUNCTION("IMPORTRANGE(""https://docs.google.com/spreadsheets/d/1eHaY18a8A9IcSdp1K8H6x8fbOy06t2VsZHhMHf-1x7Y/edit?usp=sharing"",""แผน!AZ85"")"),0)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IFERROR(__xludf.DUMMYFUNCTION("IMPORTRANGE(""https://docs.google.com/spreadsheets/d/1eHaY18a8A9IcSdp1K8H6x8fbOy06t2VsZHhMHf-1x7Y/edit?usp=sharing"",""แผน!BA85"")"),0)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IFERROR(__xludf.DUMMYFUNCTION("IMPORTRANGE(""https://docs.google.com/spreadsheets/d/1eHaY18a8A9IcSdp1K8H6x8fbOy06t2VsZHhMHf-1x7Y/edit?usp=sharing"",""แผน!BG85"")"),0)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IFERROR(__xludf.DUMMYFUNCTION("IMPORTRANGE(""https://docs.google.com/spreadsheets/d/1eHaY18a8A9IcSdp1K8H6x8fbOy06t2VsZHhMHf-1x7Y/edit?usp=sharing"",""แผน!BB85"")"),0)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IFERROR(__xludf.DUMMYFUNCTION("IMPORTRANGE(""https://docs.google.com/spreadsheets/d/1eHaY18a8A9IcSdp1K8H6x8fbOy06t2VsZHhMHf-1x7Y/edit?usp=sharing"",""แผน!BC85"")"),0)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IFERROR(__xludf.DUMMYFUNCTION("IMPORTRANGE(""https://docs.google.com/spreadsheets/d/1eHaY18a8A9IcSdp1K8H6x8fbOy06t2VsZHhMHf-1x7Y/edit?usp=sharing"",""แผน!BD85"")"),0)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IFERROR(__xludf.DUMMYFUNCTION("IMPORTRANGE(""https://docs.google.com/spreadsheets/d/1eHaY18a8A9IcSdp1K8H6x8fbOy06t2VsZHhMHf-1x7Y/edit?usp=sharing"",""แผน!BE85"")"),0)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IFERROR(__xludf.DUMMYFUNCTION("IMPORTRANGE(""https://docs.google.com/spreadsheets/d/1eHaY18a8A9IcSdp1K8H6x8fbOy06t2VsZHhMHf-1x7Y/edit?usp=sharing"",""แผน!BH85"")"),0)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IFERROR(__xludf.DUMMYFUNCTION("IMPORTRANGE(""https://docs.google.com/spreadsheets/d/1-uDff_7J0KD5mKrp0Vvzr7lt3OU09vwQwhkpOPPYv2Y/edit?usp=sharing"",""งบพรบ!DE85"")"),0)</f>
        <v>0</v>
      </c>
      <c r="M271" s="482">
        <f ca="1">IFERROR(__xludf.DUMMYFUNCTION("IMPORTRANGE(""https://docs.google.com/spreadsheets/d/1-uDff_7J0KD5mKrp0Vvzr7lt3OU09vwQwhkpOPPYv2Y/edit?usp=sharing"",""งบพรบ!DJ85"")"),5000)</f>
        <v>5000</v>
      </c>
      <c r="N271" s="482">
        <f ca="1">IFERROR(__xludf.DUMMYFUNCTION("IMPORTRANGE(""https://docs.google.com/spreadsheets/d/1-uDff_7J0KD5mKrp0Vvzr7lt3OU09vwQwhkpOPPYv2Y/edit?usp=sharing"",""งบพรบ!DL85"")"),0)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IFERROR(__xludf.DUMMYFUNCTION("IMPORTRANGE(""https://docs.google.com/spreadsheets/d/1ItG2mGa2ceCfYo0BwxsXqNm01IGEUdYcSSLTEv9YCik/edit?usp=sharing"",""เบิกจ่ายกองทุน!AJ85"")"),50660)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IFERROR(__xludf.DUMMYFUNCTION("IMPORTRANGE(""https://docs.google.com/spreadsheets/d/1ItG2mGa2ceCfYo0BwxsXqNm01IGEUdYcSSLTEv9YCik/edit?usp=sharing"",""เบิกจ่ายกองทุน!AK85"")"),50660)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IFERROR(__xludf.DUMMYFUNCTION("IMPORTRANGE(""https://docs.google.com/spreadsheets/d/1ItG2mGa2ceCfYo0BwxsXqNm01IGEUdYcSSLTEv9YCik/edit?usp=sharing"",""เบิกจ่ายกองทุน!AL85"")"),0)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IFERROR(__xludf.DUMMYFUNCTION("IMPORTRANGE(""https://docs.google.com/spreadsheets/d/1-uDff_7J0KD5mKrp0Vvzr7lt3OU09vwQwhkpOPPYv2Y/edit?usp=sharing"",""งบพรบ!DH85"")"),0)</f>
        <v>0</v>
      </c>
      <c r="M274" s="482">
        <f ca="1">IFERROR(__xludf.DUMMYFUNCTION("IMPORTRANGE(""https://docs.google.com/spreadsheets/d/1-uDff_7J0KD5mKrp0Vvzr7lt3OU09vwQwhkpOPPYv2Y/edit?usp=sharing"",""งบพรบ!DK85"")"),0)</f>
        <v>0</v>
      </c>
      <c r="N274" s="482">
        <f ca="1">IFERROR(__xludf.DUMMYFUNCTION("IMPORTRANGE(""https://docs.google.com/spreadsheets/d/1-uDff_7J0KD5mKrp0Vvzr7lt3OU09vwQwhkpOPPYv2Y/edit?usp=sharing"",""งบพรบ!DM85"")"),0)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IFERROR(__xludf.DUMMYFUNCTION("IMPORTRANGE(""https://docs.google.com/spreadsheets/d/1eHaY18a8A9IcSdp1K8H6x8fbOy06t2VsZHhMHf-1x7Y/edit?usp=sharing"",""แผน!EC85"")"),22)</f>
        <v>22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hidden="1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0</v>
      </c>
      <c r="R305" s="47">
        <f t="shared" ca="1" si="82"/>
        <v>0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IFERROR(__xludf.DUMMYFUNCTION("IMPORTRANGE(""https://docs.google.com/spreadsheets/d/1ItG2mGa2ceCfYo0BwxsXqNm01IGEUdYcSSLTEv9YCik/edit?usp=sharing"",""เบิกจ่ายกองทุน!AQ85"")"),0)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IFERROR(__xludf.DUMMYFUNCTION("IMPORTRANGE(""https://docs.google.com/spreadsheets/d/1ItG2mGa2ceCfYo0BwxsXqNm01IGEUdYcSSLTEv9YCik/edit?usp=sharing"",""เบิกจ่ายกองทุน!AR85"")"),0)</f>
        <v>0</v>
      </c>
      <c r="T308" s="47">
        <f t="shared" ca="1" si="79"/>
        <v>0</v>
      </c>
      <c r="U308" s="47">
        <f t="shared" ca="1" si="80"/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hidden="1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340</v>
      </c>
      <c r="J332" s="596">
        <f ca="1">J344+J347+J348+J349+J353</f>
        <v>2202</v>
      </c>
      <c r="K332" s="595">
        <f ca="1">IF(I332&gt;0,J332*100/I332,0)</f>
        <v>647.64705882352939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101000</v>
      </c>
      <c r="M333" s="132">
        <f ca="1">M334+M335</f>
        <v>106000</v>
      </c>
      <c r="N333" s="132">
        <f ca="1">N334+N335</f>
        <v>143858.34</v>
      </c>
      <c r="O333" s="132">
        <f t="shared" ref="O333:O341" ca="1" si="89">IF(L333&gt;0,N333*100/L333,0)</f>
        <v>142.434</v>
      </c>
      <c r="P333" s="132">
        <f t="shared" ref="P333:P341" ca="1" si="90">IF(M333&gt;0,N333*100/M333,0)</f>
        <v>135.71541509433962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101000</v>
      </c>
      <c r="M335" s="47">
        <f t="shared" ca="1" si="93"/>
        <v>106000</v>
      </c>
      <c r="N335" s="47">
        <f t="shared" ca="1" si="93"/>
        <v>143858.34</v>
      </c>
      <c r="O335" s="47">
        <f t="shared" ca="1" si="89"/>
        <v>142.434</v>
      </c>
      <c r="P335" s="47">
        <f t="shared" ca="1" si="90"/>
        <v>135.71541509433962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101000</v>
      </c>
      <c r="M336" s="47">
        <f ca="1">M337+M338</f>
        <v>106000</v>
      </c>
      <c r="N336" s="47">
        <f ca="1">N337+N338</f>
        <v>143858.34</v>
      </c>
      <c r="O336" s="47">
        <f t="shared" ca="1" si="89"/>
        <v>142.434</v>
      </c>
      <c r="P336" s="47">
        <f t="shared" ca="1" si="90"/>
        <v>135.71541509433962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IFERROR(__xludf.DUMMYFUNCTION("IMPORTRANGE(""https://docs.google.com/spreadsheets/d/1-uDff_7J0KD5mKrp0Vvzr7lt3OU09vwQwhkpOPPYv2Y/edit?usp=sharing"",""งบพรบ!ES85"")"),101000)</f>
        <v>101000</v>
      </c>
      <c r="M338" s="47">
        <f ca="1">IFERROR(__xludf.DUMMYFUNCTION("IMPORTRANGE(""https://docs.google.com/spreadsheets/d/1-uDff_7J0KD5mKrp0Vvzr7lt3OU09vwQwhkpOPPYv2Y/edit?usp=sharing"",""งบพรบ!EX85"")"),106000)</f>
        <v>106000</v>
      </c>
      <c r="N338" s="47">
        <f ca="1">IFERROR(__xludf.DUMMYFUNCTION("IMPORTRANGE(""https://docs.google.com/spreadsheets/d/1-uDff_7J0KD5mKrp0Vvzr7lt3OU09vwQwhkpOPPYv2Y/edit?usp=sharing"",""งบพรบ!EZ85"")"),143858.34)</f>
        <v>143858.34</v>
      </c>
      <c r="O338" s="47">
        <f t="shared" ca="1" si="89"/>
        <v>142.434</v>
      </c>
      <c r="P338" s="47">
        <f t="shared" ca="1" si="90"/>
        <v>135.71541509433962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IFERROR(__xludf.DUMMYFUNCTION("IMPORTRANGE(""https://docs.google.com/spreadsheets/d/1-uDff_7J0KD5mKrp0Vvzr7lt3OU09vwQwhkpOPPYv2Y/edit?usp=sharing"",""งบพรบ!EV85"")"),0)</f>
        <v>0</v>
      </c>
      <c r="M341" s="47">
        <f ca="1">IFERROR(__xludf.DUMMYFUNCTION("IMPORTRANGE(""https://docs.google.com/spreadsheets/d/1-uDff_7J0KD5mKrp0Vvzr7lt3OU09vwQwhkpOPPYv2Y/edit?usp=sharing"",""งบพรบ!EY85"")"),0)</f>
        <v>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213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IFERROR(__xludf.DUMMYFUNCTION("IMPORTRANGE(""https://docs.google.com/spreadsheets/d/1awYsYK3VOup2i3Pq_Yjnu8DRu_mYwSBnCR2QPthd0rU/edit?usp=sharing"",""ศูนย์ยกเว้นโฉนด!D85"")"),94)</f>
        <v>94</v>
      </c>
      <c r="K344" s="47">
        <f ca="1">IF(I344&gt;0,J344*100/I344,0)</f>
        <v>27.647058823529413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2581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IFERROR(__xludf.DUMMYFUNCTION("IMPORTRANGE(""https://docs.google.com/spreadsheets/d/1awYsYK3VOup2i3Pq_Yjnu8DRu_mYwSBnCR2QPthd0rU/edit?usp=sharing"",""โฉนดM3!G85"")"),592)</f>
        <v>592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IFERROR(__xludf.DUMMYFUNCTION("IMPORTRANGE(""https://docs.google.com/spreadsheets/d/1awYsYK3VOup2i3Pq_Yjnu8DRu_mYwSBnCR2QPthd0rU/edit?usp=sharing"",""โฉนดM3!H85"")"),1989)</f>
        <v>1989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341160</v>
      </c>
      <c r="M356" s="132">
        <f ca="1">M357+M358</f>
        <v>341160</v>
      </c>
      <c r="N356" s="132">
        <f ca="1">N357+N358</f>
        <v>224906.67</v>
      </c>
      <c r="O356" s="132">
        <f t="shared" ref="O356:O364" ca="1" si="95">IF(L356&gt;0,N356*100/L356,0)</f>
        <v>65.924103060147729</v>
      </c>
      <c r="P356" s="132">
        <f t="shared" ref="P356:P364" ca="1" si="96">IF(M356&gt;0,N356*100/M356,0)</f>
        <v>65.924103060147729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341160</v>
      </c>
      <c r="M358" s="47">
        <f t="shared" ca="1" si="99"/>
        <v>341160</v>
      </c>
      <c r="N358" s="47">
        <f t="shared" ca="1" si="99"/>
        <v>224906.67</v>
      </c>
      <c r="O358" s="47">
        <f t="shared" ca="1" si="95"/>
        <v>65.924103060147729</v>
      </c>
      <c r="P358" s="47">
        <f t="shared" ca="1" si="96"/>
        <v>65.924103060147729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341160</v>
      </c>
      <c r="M359" s="47">
        <f ca="1">M360+M361</f>
        <v>341160</v>
      </c>
      <c r="N359" s="47">
        <f ca="1">N360+N361</f>
        <v>224906.67</v>
      </c>
      <c r="O359" s="47">
        <f t="shared" ca="1" si="95"/>
        <v>65.924103060147729</v>
      </c>
      <c r="P359" s="47">
        <f t="shared" ca="1" si="96"/>
        <v>65.924103060147729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IFERROR(__xludf.DUMMYFUNCTION("IMPORTRANGE(""https://docs.google.com/spreadsheets/d/1-uDff_7J0KD5mKrp0Vvzr7lt3OU09vwQwhkpOPPYv2Y/edit?usp=sharing"",""งบพรบ!FC85"")"),341160)</f>
        <v>341160</v>
      </c>
      <c r="M361" s="47">
        <f ca="1">IFERROR(__xludf.DUMMYFUNCTION("IMPORTRANGE(""https://docs.google.com/spreadsheets/d/1-uDff_7J0KD5mKrp0Vvzr7lt3OU09vwQwhkpOPPYv2Y/edit?usp=sharing"",""งบพรบ!FH85"")"),341160)</f>
        <v>341160</v>
      </c>
      <c r="N361" s="47">
        <f ca="1">IFERROR(__xludf.DUMMYFUNCTION("IMPORTRANGE(""https://docs.google.com/spreadsheets/d/1-uDff_7J0KD5mKrp0Vvzr7lt3OU09vwQwhkpOPPYv2Y/edit?usp=sharing"",""งบพรบ!FJ85"")"),224906.67)</f>
        <v>224906.67</v>
      </c>
      <c r="O361" s="47">
        <f t="shared" ca="1" si="95"/>
        <v>65.924103060147729</v>
      </c>
      <c r="P361" s="47">
        <f t="shared" ca="1" si="96"/>
        <v>65.924103060147729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53</v>
      </c>
      <c r="J365" s="228">
        <f ca="1">J371</f>
        <v>46</v>
      </c>
      <c r="K365" s="229">
        <f ca="1">IF(I365&gt;0,J365*100/I365,0)</f>
        <v>86.79245283018868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IFERROR(__xludf.DUMMYFUNCTION("IMPORTRANGE(""https://docs.google.com/spreadsheets/d/1tdoBKaGub7dwA3U6UFTqxio9LNnvDCQjHKmttSEBsFQ/edit?usp=sharing"",""จัดที่ดิน!AB85"")"),52)</f>
        <v>52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IFERROR(__xludf.DUMMYFUNCTION("IMPORTRANGE(""https://docs.google.com/spreadsheets/d/1eHaY18a8A9IcSdp1K8H6x8fbOy06t2VsZHhMHf-1x7Y/edit?usp=sharing"",""แผน!EW85"")"),210)</f>
        <v>210</v>
      </c>
      <c r="J368" s="584">
        <f ca="1">IFERROR(__xludf.DUMMYFUNCTION("IMPORTRANGE(""https://docs.google.com/spreadsheets/d/1tdoBKaGub7dwA3U6UFTqxio9LNnvDCQjHKmttSEBsFQ/edit?usp=sharing"",""จัดที่ดิน!AC85"")"),441.26)</f>
        <v>441.26</v>
      </c>
      <c r="K368" s="47">
        <f t="shared" ca="1" si="101"/>
        <v>210.12380952380951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IFERROR(__xludf.DUMMYFUNCTION("IMPORTRANGE(""https://docs.google.com/spreadsheets/d/1eHaY18a8A9IcSdp1K8H6x8fbOy06t2VsZHhMHf-1x7Y/edit?usp=sharing"",""แผน!EX85"")"),53)</f>
        <v>53</v>
      </c>
      <c r="J369" s="152">
        <f ca="1">IFERROR(__xludf.DUMMYFUNCTION("IMPORTRANGE(""https://docs.google.com/spreadsheets/d/1tdoBKaGub7dwA3U6UFTqxio9LNnvDCQjHKmttSEBsFQ/edit?usp=sharing"",""จัดที่ดิน!AD85"")"),82)</f>
        <v>82</v>
      </c>
      <c r="K369" s="47">
        <f t="shared" ca="1" si="101"/>
        <v>154.71698113207546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IFERROR(__xludf.DUMMYFUNCTION("IMPORTRANGE(""https://docs.google.com/spreadsheets/d/1tdoBKaGub7dwA3U6UFTqxio9LNnvDCQjHKmttSEBsFQ/edit?usp=sharing"",""จัดที่ดิน!AE85"")"),1125.05)</f>
        <v>1125.05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IFERROR(__xludf.DUMMYFUNCTION("IMPORTRANGE(""https://docs.google.com/spreadsheets/d/1eHaY18a8A9IcSdp1K8H6x8fbOy06t2VsZHhMHf-1x7Y/edit?usp=sharing"",""แผน!EY85"")"),53)</f>
        <v>53</v>
      </c>
      <c r="J371" s="152">
        <f ca="1">IFERROR(__xludf.DUMMYFUNCTION("IMPORTRANGE(""https://docs.google.com/spreadsheets/d/1tdoBKaGub7dwA3U6UFTqxio9LNnvDCQjHKmttSEBsFQ/edit?usp=sharing"",""จัดที่ดิน!AF85"")"),46)</f>
        <v>46</v>
      </c>
      <c r="K371" s="47">
        <f t="shared" ca="1" si="101"/>
        <v>86.79245283018868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IFERROR(__xludf.DUMMYFUNCTION("IMPORTRANGE(""https://docs.google.com/spreadsheets/d/1tdoBKaGub7dwA3U6UFTqxio9LNnvDCQjHKmttSEBsFQ/edit?usp=sharing"",""จัดที่ดิน!AG85"")"),595.77)</f>
        <v>595.77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300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18750</v>
      </c>
      <c r="R377" s="47">
        <f t="shared" ca="1" si="107"/>
        <v>18750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IFERROR(__xludf.DUMMYFUNCTION("IMPORTRANGE(""https://docs.google.com/spreadsheets/d/1ItG2mGa2ceCfYo0BwxsXqNm01IGEUdYcSSLTEv9YCik/edit?usp=sharing"",""เบิกจ่ายกองทุน!AZ85"")"),18750)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IFERROR(__xludf.DUMMYFUNCTION("IMPORTRANGE(""https://docs.google.com/spreadsheets/d/1ItG2mGa2ceCfYo0BwxsXqNm01IGEUdYcSSLTEv9YCik/edit?usp=sharing"",""เบิกจ่ายกองทุน!BA85"")"),0)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IFERROR(__xludf.DUMMYFUNCTION("IMPORTRANGE(""https://docs.google.com/spreadsheets/d/1w5rwWK1o49a35cNtocGL0gxDwhFSTZUQu90BiH9_zqM/edit?usp=sharing"",""RTK!L85"")"),0)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IFERROR(__xludf.DUMMYFUNCTION("IMPORTRANGE(""https://docs.google.com/spreadsheets/d/1w5rwWK1o49a35cNtocGL0gxDwhFSTZUQu90BiH9_zqM/edit?usp=sharing"",""RTK!K85"")"),0)</f>
        <v>0</v>
      </c>
      <c r="J388" s="483">
        <f ca="1">IFERROR(__xludf.DUMMYFUNCTION("IMPORTRANGE(""https://docs.google.com/spreadsheets/d/1w5rwWK1o49a35cNtocGL0gxDwhFSTZUQu90BiH9_zqM/edit?usp=sharing"",""RTK!M85"")"),0)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IFERROR(__xludf.DUMMYFUNCTION("IMPORTRANGE(""https://docs.google.com/spreadsheets/d/1ItG2mGa2ceCfYo0BwxsXqNm01IGEUdYcSSLTEv9YCik/edit?usp=sharing"",""เบิกจ่ายกองทุน!BJ85"")"),0)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IFERROR(__xludf.DUMMYFUNCTION("IMPORTRANGE(""https://docs.google.com/spreadsheets/d/1eHaY18a8A9IcSdp1K8H6x8fbOy06t2VsZHhMHf-1x7Y/edit?usp=sharing"",""แผน!HN85"")"),0)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IFERROR(__xludf.DUMMYFUNCTION("IMPORTRANGE(""https://docs.google.com/spreadsheets/d/1eHaY18a8A9IcSdp1K8H6x8fbOy06t2VsZHhMHf-1x7Y/edit?usp=sharing"",""แผน!HO85"")"),0)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IFERROR(__xludf.DUMMYFUNCTION("IMPORTRANGE(""https://docs.google.com/spreadsheets/d/1ItG2mGa2ceCfYo0BwxsXqNm01IGEUdYcSSLTEv9YCik/edit?usp=sharing"",""เบิกจ่ายกองทุน!Z85"")"),0)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0</v>
      </c>
      <c r="T616" s="132">
        <f t="shared" ref="T616:T624" ca="1" si="159">IF(Q616&gt;0,S616*100/Q616,0)</f>
        <v>0</v>
      </c>
      <c r="U616" s="132">
        <f t="shared" ref="U616:U624" ca="1" si="160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1725</v>
      </c>
      <c r="R618" s="47">
        <f t="shared" ca="1" si="162"/>
        <v>1725</v>
      </c>
      <c r="S618" s="47">
        <f t="shared" ca="1" si="162"/>
        <v>0</v>
      </c>
      <c r="T618" s="47">
        <f t="shared" ca="1" si="159"/>
        <v>0</v>
      </c>
      <c r="U618" s="47">
        <f t="shared" ca="1" si="160"/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1725</v>
      </c>
      <c r="R619" s="47">
        <f ca="1">R620+R621</f>
        <v>1725</v>
      </c>
      <c r="S619" s="47">
        <f ca="1">S620+S621</f>
        <v>0</v>
      </c>
      <c r="T619" s="47">
        <f t="shared" ca="1" si="159"/>
        <v>0</v>
      </c>
      <c r="U619" s="47">
        <f t="shared" ca="1" si="160"/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IFERROR(__xludf.DUMMYFUNCTION("IMPORTRANGE(""https://docs.google.com/spreadsheets/d/1ItG2mGa2ceCfYo0BwxsXqNm01IGEUdYcSSLTEv9YCik/edit?usp=sharing"",""เบิกจ่ายกองทุน!H85"")"),0)</f>
        <v>0</v>
      </c>
      <c r="T621" s="47">
        <f t="shared" ca="1" si="159"/>
        <v>0</v>
      </c>
      <c r="U621" s="47">
        <f t="shared" ca="1" si="160"/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66220</v>
      </c>
      <c r="R692" s="47">
        <f t="shared" ca="1" si="174"/>
        <v>66220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66220</v>
      </c>
      <c r="R693" s="47">
        <f ca="1">R694+R695</f>
        <v>66220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t="shared" ca="1" si="175"/>
        <v>200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IFERROR(__xludf.DUMMYFUNCTION("IMPORTRANGE(""https://docs.google.com/spreadsheets/d/1eHaY18a8A9IcSdp1K8H6x8fbOy06t2VsZHhMHf-1x7Y/edit?usp=sharing"",""แผน!GA85"")"),51)</f>
        <v>51</v>
      </c>
      <c r="J726" s="433">
        <f>J742+J746+J749</f>
        <v>50</v>
      </c>
      <c r="K726" s="434">
        <f ca="1">IF(I726&gt;0,J726*100/I726,0)</f>
        <v>98.039215686274517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IFERROR(__xludf.DUMMYFUNCTION("IMPORTRANGE(""https://docs.google.com/spreadsheets/d/1eHaY18a8A9IcSdp1K8H6x8fbOy06t2VsZHhMHf-1x7Y/edit?usp=sharing"",""แผน!FZ85"")"),500)</f>
        <v>500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29690.01</v>
      </c>
      <c r="T728" s="132">
        <f t="shared" ref="T728:T736" ca="1" si="184">IF(Q728&gt;0,S728*100/Q728,0)</f>
        <v>7.8319159038750694</v>
      </c>
      <c r="U728" s="132">
        <f t="shared" ref="U728:U736" ca="1" si="185">IF(R728&gt;0,S728*100/R728,0)</f>
        <v>7.8319159038750694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379090</v>
      </c>
      <c r="R730" s="47">
        <f t="shared" ca="1" si="187"/>
        <v>379090</v>
      </c>
      <c r="S730" s="47">
        <f t="shared" ca="1" si="187"/>
        <v>29690.01</v>
      </c>
      <c r="T730" s="47">
        <f t="shared" ca="1" si="184"/>
        <v>7.8319159038750694</v>
      </c>
      <c r="U730" s="47">
        <f t="shared" ca="1" si="185"/>
        <v>7.8319159038750694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29690.01</v>
      </c>
      <c r="T731" s="47">
        <f t="shared" ca="1" si="184"/>
        <v>7.8319159038750694</v>
      </c>
      <c r="U731" s="47">
        <f t="shared" ca="1" si="185"/>
        <v>7.8319159038750694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IFERROR(__xludf.DUMMYFUNCTION("IMPORTRANGE(""https://docs.google.com/spreadsheets/d/1ItG2mGa2ceCfYo0BwxsXqNm01IGEUdYcSSLTEv9YCik/edit?usp=sharing"",""เบิกจ่ายกองทุน!Q85"")"),29690.01)</f>
        <v>29690.01</v>
      </c>
      <c r="T733" s="47">
        <f t="shared" ca="1" si="184"/>
        <v>7.8319159038750694</v>
      </c>
      <c r="U733" s="47">
        <f t="shared" ca="1" si="185"/>
        <v>7.8319159038750694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81"/>
      <c r="B739" s="480"/>
      <c r="C739" s="480"/>
      <c r="D739" s="480"/>
      <c r="E739" s="485" t="s">
        <v>270</v>
      </c>
      <c r="F739" s="480"/>
      <c r="G739" s="477"/>
      <c r="H739" s="484"/>
      <c r="I739" s="475"/>
      <c r="J739" s="475"/>
      <c r="K739" s="472"/>
      <c r="L739" s="473"/>
      <c r="M739" s="472"/>
      <c r="N739" s="472"/>
      <c r="O739" s="472"/>
      <c r="P739" s="472"/>
      <c r="Q739" s="472"/>
      <c r="R739" s="472"/>
      <c r="S739" s="472"/>
      <c r="T739" s="472"/>
      <c r="U739" s="472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IFERROR(__xludf.DUMMYFUNCTION("IMPORTRANGE(""https://docs.google.com/spreadsheets/d/1eHaY18a8A9IcSdp1K8H6x8fbOy06t2VsZHhMHf-1x7Y/edit?usp=sharing"",""แผน!GB85"")"),400)</f>
        <v>400</v>
      </c>
      <c r="J740" s="474">
        <v>455</v>
      </c>
      <c r="K740" s="482">
        <f ca="1">IF(I740&gt;0,J740*100/I740,0)</f>
        <v>113.75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40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IFERROR(__xludf.DUMMYFUNCTION("IMPORTRANGE(""https://docs.google.com/spreadsheets/d/1eHaY18a8A9IcSdp1K8H6x8fbOy06t2VsZHhMHf-1x7Y/edit?usp=sharing"",""แผน!GC85"")"),40)</f>
        <v>40</v>
      </c>
      <c r="J742" s="474">
        <v>40</v>
      </c>
      <c r="K742" s="482">
        <f ca="1">IF(I742&gt;0,J742*100/I742,0)</f>
        <v>100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IFERROR(__xludf.DUMMYFUNCTION("IMPORTRANGE(""https://docs.google.com/spreadsheets/d/1eHaY18a8A9IcSdp1K8H6x8fbOy06t2VsZHhMHf-1x7Y/edit?usp=sharing"",""แผน!GD85"")"),100)</f>
        <v>100</v>
      </c>
      <c r="J744" s="474">
        <v>115</v>
      </c>
      <c r="K744" s="482">
        <f ca="1">IF(I744&gt;0,J744*100/I744,0)</f>
        <v>115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10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IFERROR(__xludf.DUMMYFUNCTION("IMPORTRANGE(""https://docs.google.com/spreadsheets/d/1eHaY18a8A9IcSdp1K8H6x8fbOy06t2VsZHhMHf-1x7Y/edit?usp=sharing"",""แผน!GE85"")"),10)</f>
        <v>10</v>
      </c>
      <c r="J746" s="474">
        <v>10</v>
      </c>
      <c r="K746" s="482">
        <f ca="1">IF(I746&gt;0,J746*100/I746,0)</f>
        <v>100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IFERROR(__xludf.DUMMYFUNCTION("IMPORTRANGE(""https://docs.google.com/spreadsheets/d/1eHaY18a8A9IcSdp1K8H6x8fbOy06t2VsZHhMHf-1x7Y/edit?usp=sharing"",""แผน!GF85"")"),1)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IFERROR(__xludf.DUMMYFUNCTION("IMPORTRANGE(""https://docs.google.com/spreadsheets/d/1eHaY18a8A9IcSdp1K8H6x8fbOy06t2VsZHhMHf-1x7Y/edit?usp=sharing"",""แผน!GB85"")"),400)</f>
        <v>400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IFERROR(__xludf.DUMMYFUNCTION("IMPORTRANGE(""https://docs.google.com/spreadsheets/d/1eHaY18a8A9IcSdp1K8H6x8fbOy06t2VsZHhMHf-1x7Y/edit?usp=sharing"",""แผน!GD85"")"),100)</f>
        <v>100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20</v>
      </c>
      <c r="J758" s="433">
        <f>J772</f>
        <v>20</v>
      </c>
      <c r="K758" s="434">
        <f ca="1">IF(I758&gt;0,J758*100/I758,0)</f>
        <v>100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20</v>
      </c>
      <c r="J759" s="433">
        <f>J774</f>
        <v>20</v>
      </c>
      <c r="K759" s="434">
        <f ca="1">IF(I759&gt;0,J759*100/I759,0)</f>
        <v>100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11780</v>
      </c>
      <c r="T760" s="132">
        <f t="shared" ref="T760:T768" ca="1" si="190">IF(Q760&gt;0,S760*100/Q760,0)</f>
        <v>10.742294364399052</v>
      </c>
      <c r="U760" s="132">
        <f t="shared" ref="U760:U768" ca="1" si="191">IF(R760&gt;0,S760*100/R760,0)</f>
        <v>10.742294364399052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109660</v>
      </c>
      <c r="R762" s="47">
        <f t="shared" ca="1" si="193"/>
        <v>109660</v>
      </c>
      <c r="S762" s="47">
        <f t="shared" ca="1" si="193"/>
        <v>11780</v>
      </c>
      <c r="T762" s="47">
        <f t="shared" ca="1" si="190"/>
        <v>10.742294364399052</v>
      </c>
      <c r="U762" s="47">
        <f t="shared" ca="1" si="191"/>
        <v>10.742294364399052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11780</v>
      </c>
      <c r="T763" s="47">
        <f t="shared" ca="1" si="190"/>
        <v>10.742294364399052</v>
      </c>
      <c r="U763" s="47">
        <f t="shared" ca="1" si="191"/>
        <v>10.742294364399052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IFERROR(__xludf.DUMMYFUNCTION("IMPORTRANGE(""https://docs.google.com/spreadsheets/d/1ItG2mGa2ceCfYo0BwxsXqNm01IGEUdYcSSLTEv9YCik/edit?usp=sharing"",""เบิกจ่ายกองทุน!V85"")"),109660)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IFERROR(__xludf.DUMMYFUNCTION("IMPORTRANGE(""https://docs.google.com/spreadsheets/d/1ItG2mGa2ceCfYo0BwxsXqNm01IGEUdYcSSLTEv9YCik/edit?usp=sharing"",""เบิกจ่ายกองทุน!W85"")"),11780)</f>
        <v>11780</v>
      </c>
      <c r="T765" s="47">
        <f t="shared" ca="1" si="190"/>
        <v>10.742294364399052</v>
      </c>
      <c r="U765" s="47">
        <f t="shared" ca="1" si="191"/>
        <v>10.742294364399052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IFERROR(__xludf.DUMMYFUNCTION("IMPORTRANGE(""https://docs.google.com/spreadsheets/d/1eHaY18a8A9IcSdp1K8H6x8fbOy06t2VsZHhMHf-1x7Y/edit?usp=sharing"",""แผน!FI85"")"),0)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IFERROR(__xludf.DUMMYFUNCTION("IMPORTRANGE(""https://docs.google.com/spreadsheets/d/10OvvATaaLtwErnr3qtWFcTmtbfpFEt5Bsqel9sXx0uE/edit?usp=sharing"",""งานกองทุน!D85"")"),1487596.33)</f>
        <v>1487596.33</v>
      </c>
      <c r="J778" s="152">
        <f ca="1">IFERROR(__xludf.DUMMYFUNCTION("IMPORTRANGE(""https://docs.google.com/spreadsheets/d/10OvvATaaLtwErnr3qtWFcTmtbfpFEt5Bsqel9sXx0uE/edit?usp=sharing"",""งานกองทุน!F85"")"),676494.71)</f>
        <v>676494.71</v>
      </c>
      <c r="K778" s="47">
        <f t="shared" ref="K778:K785" ca="1" si="194">IF(I778&gt;0,J778*100/I778,0)</f>
        <v>45.475690975924898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IFERROR(__xludf.DUMMYFUNCTION("IMPORTRANGE(""https://docs.google.com/spreadsheets/d/10OvvATaaLtwErnr3qtWFcTmtbfpFEt5Bsqel9sXx0uE/edit?usp=sharing"",""งานกองทุน!C85"")"),156)</f>
        <v>156</v>
      </c>
      <c r="J779" s="152">
        <f ca="1">IFERROR(__xludf.DUMMYFUNCTION("IMPORTRANGE(""https://docs.google.com/spreadsheets/d/10OvvATaaLtwErnr3qtWFcTmtbfpFEt5Bsqel9sXx0uE/edit?usp=sharing"",""งานกองทุน!E85"")"),73)</f>
        <v>73</v>
      </c>
      <c r="K779" s="47">
        <f t="shared" ca="1" si="194"/>
        <v>46.794871794871796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IFERROR(__xludf.DUMMYFUNCTION("IMPORTRANGE(""https://docs.google.com/spreadsheets/d/10OvvATaaLtwErnr3qtWFcTmtbfpFEt5Bsqel9sXx0uE/edit?usp=sharing"",""งานกองทุน!K85"")"),117353.76)</f>
        <v>117353.76</v>
      </c>
      <c r="K780" s="47">
        <f t="shared" ca="1" si="194"/>
        <v>7.4417151645703985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IFERROR(__xludf.DUMMYFUNCTION("IMPORTRANGE(""https://docs.google.com/spreadsheets/d/10OvvATaaLtwErnr3qtWFcTmtbfpFEt5Bsqel9sXx0uE/edit?usp=sharing"",""งานกองทุน!J85"")"),11)</f>
        <v>11</v>
      </c>
      <c r="K781" s="47">
        <f t="shared" ca="1" si="194"/>
        <v>11.111111111111111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IFERROR(__xludf.DUMMYFUNCTION("IMPORTRANGE(""https://docs.google.com/spreadsheets/d/10OvvATaaLtwErnr3qtWFcTmtbfpFEt5Bsqel9sXx0uE/edit?usp=sharing"",""งานกองทุน!U85"")"),0)</f>
        <v>0</v>
      </c>
      <c r="K784" s="47">
        <f t="shared" ca="1" si="194"/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IFERROR(__xludf.DUMMYFUNCTION("IMPORTRANGE(""https://docs.google.com/spreadsheets/d/10OvvATaaLtwErnr3qtWFcTmtbfpFEt5Bsqel9sXx0uE/edit?usp=sharing"",""งานกองทุน!T85"")"),0)</f>
        <v>0</v>
      </c>
      <c r="K785" s="111">
        <f t="shared" ca="1" si="194"/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D7CDE-42B0-4AE7-94F4-A5A7CCF9445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324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1899835</v>
      </c>
      <c r="M18" s="35">
        <f ca="1">M19+M20</f>
        <v>2256004</v>
      </c>
      <c r="N18" s="35">
        <f ca="1">N19+N20</f>
        <v>1911072.02</v>
      </c>
      <c r="O18" s="35">
        <f t="shared" ref="O18:O26" ca="1" si="0">IF(L18&gt;0,N18*100/L18,0)</f>
        <v>100.5914734700645</v>
      </c>
      <c r="P18" s="35">
        <f t="shared" ref="P18:P26" ca="1" si="1">IF(M18&gt;0,N18*100/M18,0)</f>
        <v>84.710488988494703</v>
      </c>
      <c r="Q18" s="35">
        <f ca="1">Q19+Q20</f>
        <v>1859979.22</v>
      </c>
      <c r="R18" s="35">
        <f ca="1">R19+R20</f>
        <v>1859979</v>
      </c>
      <c r="S18" s="35">
        <f ca="1">S19+S20</f>
        <v>269410</v>
      </c>
      <c r="T18" s="35">
        <f t="shared" ref="T18:T26" ca="1" si="2">IF(Q18&gt;0,S18*100/Q18,0)</f>
        <v>14.484570424394311</v>
      </c>
      <c r="U18" s="35">
        <f t="shared" ref="U18:U26" ca="1" si="3">IF(R18&gt;0,S18*100/R18,0)</f>
        <v>14.484572137642415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1899835</v>
      </c>
      <c r="M20" s="39">
        <f t="shared" ca="1" si="4"/>
        <v>2256004</v>
      </c>
      <c r="N20" s="39">
        <f t="shared" ca="1" si="4"/>
        <v>1911072.02</v>
      </c>
      <c r="O20" s="39">
        <f t="shared" ca="1" si="0"/>
        <v>100.5914734700645</v>
      </c>
      <c r="P20" s="39">
        <f t="shared" ca="1" si="1"/>
        <v>84.710488988494703</v>
      </c>
      <c r="Q20" s="39">
        <f t="shared" ca="1" si="5"/>
        <v>1859979.22</v>
      </c>
      <c r="R20" s="39">
        <f t="shared" ca="1" si="5"/>
        <v>1859979</v>
      </c>
      <c r="S20" s="39">
        <f t="shared" ca="1" si="5"/>
        <v>269410</v>
      </c>
      <c r="T20" s="39">
        <f t="shared" ca="1" si="2"/>
        <v>14.484570424394311</v>
      </c>
      <c r="U20" s="39">
        <f t="shared" ca="1" si="3"/>
        <v>14.484572137642415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1899835</v>
      </c>
      <c r="M21" s="47">
        <f ca="1">M22+M23</f>
        <v>2256004</v>
      </c>
      <c r="N21" s="47">
        <f ca="1">N22+N23</f>
        <v>1911072.02</v>
      </c>
      <c r="O21" s="47">
        <f t="shared" ca="1" si="0"/>
        <v>100.5914734700645</v>
      </c>
      <c r="P21" s="47">
        <f t="shared" ca="1" si="1"/>
        <v>84.710488988494703</v>
      </c>
      <c r="Q21" s="47">
        <f ca="1">Q22+Q23</f>
        <v>1859979.22</v>
      </c>
      <c r="R21" s="47">
        <f ca="1">R22+R23</f>
        <v>1859979</v>
      </c>
      <c r="S21" s="47">
        <f ca="1">S22+S23</f>
        <v>269410</v>
      </c>
      <c r="T21" s="47">
        <f t="shared" ca="1" si="2"/>
        <v>14.484570424394311</v>
      </c>
      <c r="U21" s="47">
        <f t="shared" ca="1" si="3"/>
        <v>14.484572137642415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1899835</v>
      </c>
      <c r="M23" s="47">
        <f t="shared" ca="1" si="6"/>
        <v>2256004</v>
      </c>
      <c r="N23" s="47">
        <f t="shared" ca="1" si="6"/>
        <v>1911072.02</v>
      </c>
      <c r="O23" s="47">
        <f t="shared" ca="1" si="0"/>
        <v>100.5914734700645</v>
      </c>
      <c r="P23" s="47">
        <f t="shared" ca="1" si="1"/>
        <v>84.710488988494703</v>
      </c>
      <c r="Q23" s="47">
        <f t="shared" ca="1" si="7"/>
        <v>1859979.22</v>
      </c>
      <c r="R23" s="47">
        <f t="shared" ca="1" si="7"/>
        <v>1859979</v>
      </c>
      <c r="S23" s="47">
        <f t="shared" ca="1" si="7"/>
        <v>269410</v>
      </c>
      <c r="T23" s="47">
        <f t="shared" ca="1" si="2"/>
        <v>14.484570424394311</v>
      </c>
      <c r="U23" s="47">
        <f t="shared" ca="1" si="3"/>
        <v>14.484572137642415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1899835</v>
      </c>
      <c r="M40" s="703">
        <f ca="1">M44+M59+M72+M94+M125+M139+M157+M173+M186+M266+M282+M303+M320+M333+M356</f>
        <v>2256004</v>
      </c>
      <c r="N40" s="703">
        <f ca="1">N44+N59+N72+N94+N125+N139+N157+N173+N186+N266+N282+N303+N320+N333+N356</f>
        <v>1911072.02</v>
      </c>
      <c r="O40" s="703">
        <f ca="1">IF(L40&gt;0,N40*100/L40,0)</f>
        <v>100.5914734700645</v>
      </c>
      <c r="P40" s="703">
        <f ca="1">IF(M40&gt;0,N40*100/M40,0)</f>
        <v>84.710488988494703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396500</v>
      </c>
      <c r="M44" s="79">
        <f ca="1">M45+M46</f>
        <v>533249</v>
      </c>
      <c r="N44" s="79">
        <f ca="1">N45+N46</f>
        <v>457726</v>
      </c>
      <c r="O44" s="79">
        <f t="shared" ref="O44:O52" ca="1" si="10">IF(L44&gt;0,N44*100/L44,0)</f>
        <v>115.44161412358133</v>
      </c>
      <c r="P44" s="79">
        <f t="shared" ref="P44:P52" ca="1" si="11">IF(M44&gt;0,N44*100/M44,0)</f>
        <v>85.837198006934841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396500</v>
      </c>
      <c r="M46" s="83">
        <f t="shared" ca="1" si="14"/>
        <v>533249</v>
      </c>
      <c r="N46" s="83">
        <f t="shared" ca="1" si="14"/>
        <v>457726</v>
      </c>
      <c r="O46" s="83">
        <f t="shared" ca="1" si="10"/>
        <v>115.44161412358133</v>
      </c>
      <c r="P46" s="83">
        <f t="shared" ca="1" si="11"/>
        <v>85.837198006934841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396500</v>
      </c>
      <c r="M47" s="47">
        <f ca="1">M48+M49</f>
        <v>533249</v>
      </c>
      <c r="N47" s="47">
        <f ca="1">N48+N49</f>
        <v>457726</v>
      </c>
      <c r="O47" s="47">
        <f t="shared" ca="1" si="10"/>
        <v>115.44161412358133</v>
      </c>
      <c r="P47" s="47">
        <f t="shared" ca="1" si="11"/>
        <v>85.837198006934841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IFERROR(__xludf.DUMMYFUNCTION("IMPORTRANGE(""https://docs.google.com/spreadsheets/d/1-uDff_7J0KD5mKrp0Vvzr7lt3OU09vwQwhkpOPPYv2Y/edit?usp=sharing"",""งบพรบ!P86"")"),396500)</f>
        <v>396500</v>
      </c>
      <c r="M49" s="47">
        <f ca="1">IFERROR(__xludf.DUMMYFUNCTION("IMPORTRANGE(""https://docs.google.com/spreadsheets/d/1-uDff_7J0KD5mKrp0Vvzr7lt3OU09vwQwhkpOPPYv2Y/edit?usp=sharing"",""งบพรบ!V86"")"),533249)</f>
        <v>533249</v>
      </c>
      <c r="N49" s="47">
        <f ca="1">IFERROR(__xludf.DUMMYFUNCTION("IMPORTRANGE(""https://docs.google.com/spreadsheets/d/1-uDff_7J0KD5mKrp0Vvzr7lt3OU09vwQwhkpOPPYv2Y/edit?usp=sharing"",""งบพรบ!Y86"")"),457726)</f>
        <v>457726</v>
      </c>
      <c r="O49" s="47">
        <f t="shared" ca="1" si="10"/>
        <v>115.44161412358133</v>
      </c>
      <c r="P49" s="47">
        <f t="shared" ca="1" si="11"/>
        <v>85.837198006934841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459600</v>
      </c>
      <c r="M59" s="106">
        <f ca="1">M60+M61</f>
        <v>672700</v>
      </c>
      <c r="N59" s="106">
        <f ca="1">N60+N61</f>
        <v>641545.29</v>
      </c>
      <c r="O59" s="106">
        <f t="shared" ref="O59:O67" ca="1" si="16">IF(L59&gt;0,N59*100/L59,0)</f>
        <v>139.58774804177546</v>
      </c>
      <c r="P59" s="106">
        <f t="shared" ref="P59:P67" ca="1" si="17">IF(M59&gt;0,N59*100/M59,0)</f>
        <v>95.368706704325845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459600</v>
      </c>
      <c r="M61" s="109">
        <f t="shared" ca="1" si="20"/>
        <v>672700</v>
      </c>
      <c r="N61" s="109">
        <f t="shared" ca="1" si="20"/>
        <v>641545.29</v>
      </c>
      <c r="O61" s="109">
        <f t="shared" ca="1" si="16"/>
        <v>139.58774804177546</v>
      </c>
      <c r="P61" s="109">
        <f t="shared" ca="1" si="17"/>
        <v>95.368706704325845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459600</v>
      </c>
      <c r="M62" s="47">
        <f ca="1">M63+M64</f>
        <v>672700</v>
      </c>
      <c r="N62" s="47">
        <f ca="1">N63+N64</f>
        <v>641545.29</v>
      </c>
      <c r="O62" s="47">
        <f t="shared" ca="1" si="16"/>
        <v>139.58774804177546</v>
      </c>
      <c r="P62" s="47">
        <f t="shared" ca="1" si="17"/>
        <v>95.368706704325845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IFERROR(__xludf.DUMMYFUNCTION("IMPORTRANGE(""https://docs.google.com/spreadsheets/d/1-uDff_7J0KD5mKrp0Vvzr7lt3OU09vwQwhkpOPPYv2Y/edit?usp=sharing"",""งบพรบ!AC86"")"),459600)</f>
        <v>459600</v>
      </c>
      <c r="M64" s="47">
        <f ca="1">IFERROR(__xludf.DUMMYFUNCTION("IMPORTRANGE(""https://docs.google.com/spreadsheets/d/1-uDff_7J0KD5mKrp0Vvzr7lt3OU09vwQwhkpOPPYv2Y/edit?usp=sharing"",""งบพรบ!AH86"")"),672700)</f>
        <v>672700</v>
      </c>
      <c r="N64" s="47">
        <f ca="1">IFERROR(__xludf.DUMMYFUNCTION("IMPORTRANGE(""https://docs.google.com/spreadsheets/d/1-uDff_7J0KD5mKrp0Vvzr7lt3OU09vwQwhkpOPPYv2Y/edit?usp=sharing"",""งบพรบ!AJ86"")"),641545.29)</f>
        <v>641545.29</v>
      </c>
      <c r="O64" s="47">
        <f t="shared" ca="1" si="16"/>
        <v>139.58774804177546</v>
      </c>
      <c r="P64" s="47">
        <f t="shared" ca="1" si="17"/>
        <v>95.368706704325845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IFERROR(__xludf.DUMMYFUNCTION("IMPORTRANGE(""https://docs.google.com/spreadsheets/d/1-uDff_7J0KD5mKrp0Vvzr7lt3OU09vwQwhkpOPPYv2Y/edit?usp=sharing"",""งบพรบ!AF86"")"),0)</f>
        <v>0</v>
      </c>
      <c r="M67" s="111">
        <f ca="1">IFERROR(__xludf.DUMMYFUNCTION("IMPORTRANGE(""https://docs.google.com/spreadsheets/d/1-uDff_7J0KD5mKrp0Vvzr7lt3OU09vwQwhkpOPPYv2Y/edit?usp=sharing"",""งบพรบ!AI86"")"),0)</f>
        <v>0</v>
      </c>
      <c r="N67" s="111">
        <f ca="1">IFERROR(__xludf.DUMMYFUNCTION("IMPORTRANGE(""https://docs.google.com/spreadsheets/d/1-uDff_7J0KD5mKrp0Vvzr7lt3OU09vwQwhkpOPPYv2Y/edit?usp=sharing"",""งบพรบ!AK86"")"),0)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IFERROR(__xludf.DUMMYFUNCTION("IMPORTRANGE(""https://docs.google.com/spreadsheets/d/1ItG2mGa2ceCfYo0BwxsXqNm01IGEUdYcSSLTEv9YCik/edit?usp=sharing"",""เบิกจ่ายกองทุน!AS86"")"),0)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IFERROR(__xludf.DUMMYFUNCTION("IMPORTRANGE(""https://docs.google.com/spreadsheets/d/1ItG2mGa2ceCfYo0BwxsXqNm01IGEUdYcSSLTEv9YCik/edit?usp=sharing"",""เบิกจ่ายกองทุน!AT86"")"),0)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IFERROR(__xludf.DUMMYFUNCTION("IMPORTRANGE(""https://docs.google.com/spreadsheets/d/1ItG2mGa2ceCfYo0BwxsXqNm01IGEUdYcSSLTEv9YCik/edit?usp=sharing"",""เบิกจ่ายกองทุน!AU86"")"),0)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244818</v>
      </c>
      <c r="R94" s="132">
        <f ca="1">R95+R96</f>
        <v>244818</v>
      </c>
      <c r="S94" s="132">
        <f ca="1">S95+S96</f>
        <v>16600</v>
      </c>
      <c r="T94" s="132">
        <f t="shared" ref="T94:T102" ca="1" si="31">IF(Q94&gt;0,S94*100/Q94,0)</f>
        <v>6.7805471819882523</v>
      </c>
      <c r="U94" s="132">
        <f t="shared" ref="U94:U102" ca="1" si="32">IF(R94&gt;0,S94*100/R94,0)</f>
        <v>6.7805471819882523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244818</v>
      </c>
      <c r="R96" s="47">
        <f t="shared" ca="1" si="34"/>
        <v>244818</v>
      </c>
      <c r="S96" s="47">
        <f t="shared" ca="1" si="34"/>
        <v>16600</v>
      </c>
      <c r="T96" s="47">
        <f t="shared" ca="1" si="31"/>
        <v>6.7805471819882523</v>
      </c>
      <c r="U96" s="47">
        <f t="shared" ca="1" si="32"/>
        <v>6.7805471819882523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244818</v>
      </c>
      <c r="R97" s="47">
        <f ca="1">R98+R99</f>
        <v>244818</v>
      </c>
      <c r="S97" s="47">
        <f ca="1">S98+S99</f>
        <v>16600</v>
      </c>
      <c r="T97" s="47">
        <f t="shared" ca="1" si="31"/>
        <v>6.7805471819882523</v>
      </c>
      <c r="U97" s="47">
        <f t="shared" ca="1" si="32"/>
        <v>6.7805471819882523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IFERROR(__xludf.DUMMYFUNCTION("IMPORTRANGE(""https://docs.google.com/spreadsheets/d/1-uDff_7J0KD5mKrp0Vvzr7lt3OU09vwQwhkpOPPYv2Y/edit?usp=sharing"",""งบพรบ!AW86"")"),0)</f>
        <v>0</v>
      </c>
      <c r="M99" s="47">
        <f ca="1">IFERROR(__xludf.DUMMYFUNCTION("IMPORTRANGE(""https://docs.google.com/spreadsheets/d/1-uDff_7J0KD5mKrp0Vvzr7lt3OU09vwQwhkpOPPYv2Y/edit?usp=sharing"",""งบพรบ!BB86"")"),0)</f>
        <v>0</v>
      </c>
      <c r="N99" s="47">
        <f ca="1">IFERROR(__xludf.DUMMYFUNCTION("IMPORTRANGE(""https://docs.google.com/spreadsheets/d/1-uDff_7J0KD5mKrp0Vvzr7lt3OU09vwQwhkpOPPYv2Y/edit?usp=sharing"",""งบพรบ!BD86"")"),0)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IFERROR(__xludf.DUMMYFUNCTION("IMPORTRANGE(""https://docs.google.com/spreadsheets/d/1ItG2mGa2ceCfYo0BwxsXqNm01IGEUdYcSSLTEv9YCik/edit?usp=sharing"",""เบิกจ่ายกองทุน!AE86"")"),244818)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IFERROR(__xludf.DUMMYFUNCTION("IMPORTRANGE(""https://docs.google.com/spreadsheets/d/1ItG2mGa2ceCfYo0BwxsXqNm01IGEUdYcSSLTEv9YCik/edit?usp=sharing"",""เบิกจ่ายกองทุน!AF86"")"),16600)</f>
        <v>16600</v>
      </c>
      <c r="T99" s="47">
        <f t="shared" ca="1" si="31"/>
        <v>6.7805471819882523</v>
      </c>
      <c r="U99" s="47">
        <f t="shared" ca="1" si="32"/>
        <v>6.7805471819882523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86700</v>
      </c>
      <c r="T117" s="132">
        <f t="shared" ref="T117:T125" ca="1" si="37">IF(Q117&gt;0,S117*100/Q117,0)</f>
        <v>41.411922048146735</v>
      </c>
      <c r="U117" s="132">
        <f t="shared" ref="U117:U125" ca="1" si="38">IF(R117&gt;0,S117*100/R117,0)</f>
        <v>41.411922048146735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209360</v>
      </c>
      <c r="R119" s="47">
        <f t="shared" ca="1" si="40"/>
        <v>209360</v>
      </c>
      <c r="S119" s="47">
        <f t="shared" ca="1" si="40"/>
        <v>86700</v>
      </c>
      <c r="T119" s="47">
        <f t="shared" ca="1" si="37"/>
        <v>41.411922048146735</v>
      </c>
      <c r="U119" s="47">
        <f t="shared" ca="1" si="38"/>
        <v>41.411922048146735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86700</v>
      </c>
      <c r="T120" s="47">
        <f t="shared" ca="1" si="37"/>
        <v>41.411922048146735</v>
      </c>
      <c r="U120" s="47">
        <f t="shared" ca="1" si="38"/>
        <v>41.411922048146735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IFERROR(__xludf.DUMMYFUNCTION("IMPORTRANGE(""https://docs.google.com/spreadsheets/d/1ItG2mGa2ceCfYo0BwxsXqNm01IGEUdYcSSLTEv9YCik/edit?usp=sharing"",""เบิกจ่ายกองทุน!S86"")"),209360)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IFERROR(__xludf.DUMMYFUNCTION("IMPORTRANGE(""https://docs.google.com/spreadsheets/d/1ItG2mGa2ceCfYo0BwxsXqNm01IGEUdYcSSLTEv9YCik/edit?usp=sharing"",""เบิกจ่ายกองทุน!T86"")"),86700)</f>
        <v>86700</v>
      </c>
      <c r="T122" s="47">
        <f t="shared" ca="1" si="37"/>
        <v>41.411922048146735</v>
      </c>
      <c r="U122" s="47">
        <f t="shared" ca="1" si="38"/>
        <v>41.411922048146735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IFERROR(__xludf.DUMMYFUNCTION("IMPORTRANGE(""https://docs.google.com/spreadsheets/d/1eHaY18a8A9IcSdp1K8H6x8fbOy06t2VsZHhMHf-1x7Y/edit?usp=sharing"",""แผน!FG86"")"),0)</f>
        <v>0</v>
      </c>
      <c r="J128" s="167">
        <v>1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IFERROR(__xludf.DUMMYFUNCTION("IMPORTRANGE(""https://docs.google.com/spreadsheets/d/1eHaY18a8A9IcSdp1K8H6x8fbOy06t2VsZHhMHf-1x7Y/edit?usp=sharing"",""แผน!FI86"")"),0)</f>
        <v>0</v>
      </c>
      <c r="J130" s="167">
        <v>1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23300</v>
      </c>
      <c r="M139" s="132">
        <f ca="1">M140+M141</f>
        <v>18300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23300</v>
      </c>
      <c r="M141" s="47">
        <f t="shared" ca="1" si="45"/>
        <v>18300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23300</v>
      </c>
      <c r="M142" s="47">
        <f ca="1">M143+M144</f>
        <v>18300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IFERROR(__xludf.DUMMYFUNCTION("IMPORTRANGE(""https://docs.google.com/spreadsheets/d/1ItG2mGa2ceCfYo0BwxsXqNm01IGEUdYcSSLTEv9YCik/edit?usp=sharing"",""เบิกจ่ายกองทุน!BB86"")"),0)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IFERROR(__xludf.DUMMYFUNCTION("IMPORTRANGE(""https://docs.google.com/spreadsheets/d/1ItG2mGa2ceCfYo0BwxsXqNm01IGEUdYcSSLTEv9YCik/edit?usp=sharing"",""เบิกจ่ายกองทุน!BC86"")"),0)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IFERROR(__xludf.DUMMYFUNCTION("IMPORTRANGE(""https://docs.google.com/spreadsheets/d/1ItG2mGa2ceCfYo0BwxsXqNm01IGEUdYcSSLTEv9YCik/edit?usp=sharing"",""เบิกจ่ายกองทุน!BD86"")"),0)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13260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13260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13260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IFERROR(__xludf.DUMMYFUNCTION("IMPORTRANGE(""https://docs.google.com/spreadsheets/d/1-uDff_7J0KD5mKrp0Vvzr7lt3OU09vwQwhkpOPPYv2Y/edit?usp=sharing"",""งบพรบ!CF86"")"),13260)</f>
        <v>13260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IFERROR(__xludf.DUMMYFUNCTION("IMPORTRANGE(""https://docs.google.com/spreadsheets/d/1ItG2mGa2ceCfYo0BwxsXqNm01IGEUdYcSSLTEv9YCik/edit?usp=sharing"",""เบิกจ่ายกองทุน!AI86"")"),0)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IFERROR(__xludf.DUMMYFUNCTION("IMPORTRANGE(""https://docs.google.com/spreadsheets/d/1eHaY18a8A9IcSdp1K8H6x8fbOy06t2VsZHhMHf-1x7Y/edit?usp=sharing"",""แผน!Z86"")"),0)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IFERROR(__xludf.DUMMYFUNCTION("IMPORTRANGE(""https://docs.google.com/spreadsheets/d/1eHaY18a8A9IcSdp1K8H6x8fbOy06t2VsZHhMHf-1x7Y/edit?usp=sharing"",""แผน!Z86"")"),0)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t="shared" ref="O173:O181" ca="1" si="53">IF(L173&gt;0,N173*100/L173,0)</f>
        <v>201.88871873404798</v>
      </c>
      <c r="P173" s="132">
        <f t="shared" ref="P173:P181" ca="1" si="54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40150</v>
      </c>
      <c r="N175" s="47">
        <f t="shared" ca="1" si="57"/>
        <v>39550</v>
      </c>
      <c r="O175" s="47">
        <f t="shared" ca="1" si="53"/>
        <v>201.88871873404798</v>
      </c>
      <c r="P175" s="47">
        <f t="shared" ca="1" si="54"/>
        <v>98.505603985056041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t="shared" ca="1" si="53"/>
        <v>201.88871873404798</v>
      </c>
      <c r="P176" s="47">
        <f t="shared" ca="1" si="54"/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t="shared" ca="1" si="53"/>
        <v>201.88871873404798</v>
      </c>
      <c r="P178" s="47">
        <f t="shared" ca="1" si="54"/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IFERROR(__xludf.DUMMYFUNCTION("IMPORTRANGE(""https://docs.google.com/spreadsheets/d/1ItG2mGa2ceCfYo0BwxsXqNm01IGEUdYcSSLTEv9YCik/edit?usp=sharing"",""เบิกจ่ายกองทุน!BE86"")"),0)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IFERROR(__xludf.DUMMYFUNCTION("IMPORTRANGE(""https://docs.google.com/spreadsheets/d/1ItG2mGa2ceCfYo0BwxsXqNm01IGEUdYcSSLTEv9YCik/edit?usp=sharing"",""เบิกจ่ายกองทุน!BG86"")"),0)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267600</v>
      </c>
      <c r="M186" s="132">
        <f ca="1">M187+M188</f>
        <v>221300</v>
      </c>
      <c r="N186" s="132">
        <f ca="1">N187+N188</f>
        <v>155240.32999999999</v>
      </c>
      <c r="O186" s="132">
        <f t="shared" ref="O186:O194" ca="1" si="59">IF(L186&gt;0,N186*100/L186,0)</f>
        <v>58.012081464872935</v>
      </c>
      <c r="P186" s="132">
        <f t="shared" ref="P186:P194" ca="1" si="60">IF(M186&gt;0,N186*100/M186,0)</f>
        <v>70.149267962042472</v>
      </c>
      <c r="Q186" s="132">
        <f ca="1">Q187+Q188</f>
        <v>417900</v>
      </c>
      <c r="R186" s="132">
        <f ca="1">R187+R188</f>
        <v>417900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267600</v>
      </c>
      <c r="M188" s="47">
        <f t="shared" ca="1" si="63"/>
        <v>221300</v>
      </c>
      <c r="N188" s="47">
        <f t="shared" ca="1" si="63"/>
        <v>155240.32999999999</v>
      </c>
      <c r="O188" s="47">
        <f t="shared" ca="1" si="59"/>
        <v>58.012081464872935</v>
      </c>
      <c r="P188" s="47">
        <f t="shared" ca="1" si="60"/>
        <v>70.149267962042472</v>
      </c>
      <c r="Q188" s="47">
        <f t="shared" ca="1" si="64"/>
        <v>417900</v>
      </c>
      <c r="R188" s="47">
        <f t="shared" ca="1" si="64"/>
        <v>417900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267600</v>
      </c>
      <c r="M189" s="47">
        <f ca="1">M190+M191</f>
        <v>221300</v>
      </c>
      <c r="N189" s="47">
        <f ca="1">N190+N191</f>
        <v>155240.32999999999</v>
      </c>
      <c r="O189" s="47">
        <f t="shared" ca="1" si="59"/>
        <v>58.012081464872935</v>
      </c>
      <c r="P189" s="47">
        <f t="shared" ca="1" si="60"/>
        <v>70.149267962042472</v>
      </c>
      <c r="Q189" s="47">
        <f ca="1">Q190+Q191</f>
        <v>417900</v>
      </c>
      <c r="R189" s="47">
        <f ca="1">R190+R191</f>
        <v>417900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IFERROR(__xludf.DUMMYFUNCTION("IMPORTRANGE(""https://docs.google.com/spreadsheets/d/1-uDff_7J0KD5mKrp0Vvzr7lt3OU09vwQwhkpOPPYv2Y/edit?usp=sharing"",""งบพรบ!CU86"")"),267600)</f>
        <v>267600</v>
      </c>
      <c r="M191" s="47">
        <f ca="1">IFERROR(__xludf.DUMMYFUNCTION("IMPORTRANGE(""https://docs.google.com/spreadsheets/d/1-uDff_7J0KD5mKrp0Vvzr7lt3OU09vwQwhkpOPPYv2Y/edit?usp=sharing"",""งบพรบ!CZ86"")"),221300)</f>
        <v>221300</v>
      </c>
      <c r="N191" s="47">
        <f ca="1">IFERROR(__xludf.DUMMYFUNCTION("IMPORTRANGE(""https://docs.google.com/spreadsheets/d/1-uDff_7J0KD5mKrp0Vvzr7lt3OU09vwQwhkpOPPYv2Y/edit?usp=sharing"",""งบพรบ!DB86"")"),155240.33)</f>
        <v>155240.32999999999</v>
      </c>
      <c r="O191" s="47">
        <f t="shared" ca="1" si="59"/>
        <v>58.012081464872935</v>
      </c>
      <c r="P191" s="47">
        <f t="shared" ca="1" si="60"/>
        <v>70.149267962042472</v>
      </c>
      <c r="Q191" s="47">
        <f ca="1">IFERROR(__xludf.DUMMYFUNCTION("IMPORTRANGE(""https://docs.google.com/spreadsheets/d/1ItG2mGa2ceCfYo0BwxsXqNm01IGEUdYcSSLTEv9YCik/edit?usp=sharing"",""เบิกจ่ายกองทุน!AV86"")"),417900)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IFERROR(__xludf.DUMMYFUNCTION("IMPORTRANGE(""https://docs.google.com/spreadsheets/d/1ItG2mGa2ceCfYo0BwxsXqNm01IGEUdYcSSLTEv9YCik/edit?usp=sharing"",""เบิกจ่ายกองทุน!AW86"")"),417900)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IFERROR(__xludf.DUMMYFUNCTION("IMPORTRANGE(""https://docs.google.com/spreadsheets/d/1ItG2mGa2ceCfYo0BwxsXqNm01IGEUdYcSSLTEv9YCik/edit?usp=sharing"",""เบิกจ่ายกองทุน!AX86"")"),0)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117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117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70000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IFERROR(__xludf.DUMMYFUNCTION("IMPORTRANGE(""https://docs.google.com/spreadsheets/d/1eHaY18a8A9IcSdp1K8H6x8fbOy06t2VsZHhMHf-1x7Y/edit?usp=sharing"",""แผน!AH86"")"),0)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IFERROR(__xludf.DUMMYFUNCTION("IMPORTRANGE(""https://docs.google.com/spreadsheets/d/1eHaY18a8A9IcSdp1K8H6x8fbOy06t2VsZHhMHf-1x7Y/edit?usp=sharing"",""แผน!AI86"")"),0)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347900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IFERROR(__xludf.DUMMYFUNCTION("IMPORTRANGE(""https://docs.google.com/spreadsheets/d/1eHaY18a8A9IcSdp1K8H6x8fbOy06t2VsZHhMHf-1x7Y/edit?usp=sharing"",""แผน!AM86"")"),2000)</f>
        <v>2000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IFERROR(__xludf.DUMMYFUNCTION("IMPORTRANGE(""https://docs.google.com/spreadsheets/d/1eHaY18a8A9IcSdp1K8H6x8fbOy06t2VsZHhMHf-1x7Y/edit?usp=sharing"",""แผน!AN86"")"),10000)</f>
        <v>10000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IFERROR(__xludf.DUMMYFUNCTION("IMPORTRANGE(""https://docs.google.com/spreadsheets/d/1eHaY18a8A9IcSdp1K8H6x8fbOy06t2VsZHhMHf-1x7Y/edit?usp=sharing"",""แผน!AO86"")"),0)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646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IFERROR(__xludf.DUMMYFUNCTION("IMPORTRANGE(""https://docs.google.com/spreadsheets/d/1eHaY18a8A9IcSdp1K8H6x8fbOy06t2VsZHhMHf-1x7Y/edit?usp=sharing"",""แผน!AR86"")"),2500)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IFERROR(__xludf.DUMMYFUNCTION("IMPORTRANGE(""https://docs.google.com/spreadsheets/d/1eHaY18a8A9IcSdp1K8H6x8fbOy06t2VsZHhMHf-1x7Y/edit?usp=sharing"",""แผน!AS86"")"),2000)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IFERROR(__xludf.DUMMYFUNCTION("IMPORTRANGE(""https://docs.google.com/spreadsheets/d/1eHaY18a8A9IcSdp1K8H6x8fbOy06t2VsZHhMHf-1x7Y/edit?usp=sharing"",""แผน!AT86"")"),0)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IFERROR(__xludf.DUMMYFUNCTION("IMPORTRANGE(""https://docs.google.com/spreadsheets/d/1eHaY18a8A9IcSdp1K8H6x8fbOy06t2VsZHhMHf-1x7Y/edit?usp=sharing"",""แผน!AX86"")"),0)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IFERROR(__xludf.DUMMYFUNCTION("IMPORTRANGE(""https://docs.google.com/spreadsheets/d/1eHaY18a8A9IcSdp1K8H6x8fbOy06t2VsZHhMHf-1x7Y/edit?usp=sharing"",""แผน!AY86"")"),0)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IFERROR(__xludf.DUMMYFUNCTION("IMPORTRANGE(""https://docs.google.com/spreadsheets/d/1eHaY18a8A9IcSdp1K8H6x8fbOy06t2VsZHhMHf-1x7Y/edit?usp=sharing"",""แผน!AZ86"")"),0)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IFERROR(__xludf.DUMMYFUNCTION("IMPORTRANGE(""https://docs.google.com/spreadsheets/d/1eHaY18a8A9IcSdp1K8H6x8fbOy06t2VsZHhMHf-1x7Y/edit?usp=sharing"",""แผน!BA86"")"),0)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IFERROR(__xludf.DUMMYFUNCTION("IMPORTRANGE(""https://docs.google.com/spreadsheets/d/1eHaY18a8A9IcSdp1K8H6x8fbOy06t2VsZHhMHf-1x7Y/edit?usp=sharing"",""แผน!BG86"")"),0)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IFERROR(__xludf.DUMMYFUNCTION("IMPORTRANGE(""https://docs.google.com/spreadsheets/d/1eHaY18a8A9IcSdp1K8H6x8fbOy06t2VsZHhMHf-1x7Y/edit?usp=sharing"",""แผน!BB86"")"),0)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IFERROR(__xludf.DUMMYFUNCTION("IMPORTRANGE(""https://docs.google.com/spreadsheets/d/1eHaY18a8A9IcSdp1K8H6x8fbOy06t2VsZHhMHf-1x7Y/edit?usp=sharing"",""แผน!BC86"")"),0)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IFERROR(__xludf.DUMMYFUNCTION("IMPORTRANGE(""https://docs.google.com/spreadsheets/d/1eHaY18a8A9IcSdp1K8H6x8fbOy06t2VsZHhMHf-1x7Y/edit?usp=sharing"",""แผน!BD86"")"),0)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IFERROR(__xludf.DUMMYFUNCTION("IMPORTRANGE(""https://docs.google.com/spreadsheets/d/1eHaY18a8A9IcSdp1K8H6x8fbOy06t2VsZHhMHf-1x7Y/edit?usp=sharing"",""แผน!BE86"")"),0)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IFERROR(__xludf.DUMMYFUNCTION("IMPORTRANGE(""https://docs.google.com/spreadsheets/d/1eHaY18a8A9IcSdp1K8H6x8fbOy06t2VsZHhMHf-1x7Y/edit?usp=sharing"",""แผน!BH86"")"),0)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IFERROR(__xludf.DUMMYFUNCTION("IMPORTRANGE(""https://docs.google.com/spreadsheets/d/1-uDff_7J0KD5mKrp0Vvzr7lt3OU09vwQwhkpOPPYv2Y/edit?usp=sharing"",""งบพรบ!DE86"")"),0)</f>
        <v>0</v>
      </c>
      <c r="M271" s="482">
        <f ca="1">IFERROR(__xludf.DUMMYFUNCTION("IMPORTRANGE(""https://docs.google.com/spreadsheets/d/1-uDff_7J0KD5mKrp0Vvzr7lt3OU09vwQwhkpOPPYv2Y/edit?usp=sharing"",""งบพรบ!DJ86"")"),5000)</f>
        <v>5000</v>
      </c>
      <c r="N271" s="482">
        <f ca="1">IFERROR(__xludf.DUMMYFUNCTION("IMPORTRANGE(""https://docs.google.com/spreadsheets/d/1-uDff_7J0KD5mKrp0Vvzr7lt3OU09vwQwhkpOPPYv2Y/edit?usp=sharing"",""งบพรบ!DL86"")"),0)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IFERROR(__xludf.DUMMYFUNCTION("IMPORTRANGE(""https://docs.google.com/spreadsheets/d/1ItG2mGa2ceCfYo0BwxsXqNm01IGEUdYcSSLTEv9YCik/edit?usp=sharing"",""เบิกจ่ายกองทุน!AJ86"")"),50660)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IFERROR(__xludf.DUMMYFUNCTION("IMPORTRANGE(""https://docs.google.com/spreadsheets/d/1ItG2mGa2ceCfYo0BwxsXqNm01IGEUdYcSSLTEv9YCik/edit?usp=sharing"",""เบิกจ่ายกองทุน!AK86"")"),50660)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IFERROR(__xludf.DUMMYFUNCTION("IMPORTRANGE(""https://docs.google.com/spreadsheets/d/1ItG2mGa2ceCfYo0BwxsXqNm01IGEUdYcSSLTEv9YCik/edit?usp=sharing"",""เบิกจ่ายกองทุน!AL86"")"),0)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IFERROR(__xludf.DUMMYFUNCTION("IMPORTRANGE(""https://docs.google.com/spreadsheets/d/1-uDff_7J0KD5mKrp0Vvzr7lt3OU09vwQwhkpOPPYv2Y/edit?usp=sharing"",""งบพรบ!DH86"")"),0)</f>
        <v>0</v>
      </c>
      <c r="M274" s="482">
        <f ca="1">IFERROR(__xludf.DUMMYFUNCTION("IMPORTRANGE(""https://docs.google.com/spreadsheets/d/1-uDff_7J0KD5mKrp0Vvzr7lt3OU09vwQwhkpOPPYv2Y/edit?usp=sharing"",""งบพรบ!DK86"")"),0)</f>
        <v>0</v>
      </c>
      <c r="N274" s="482">
        <f ca="1">IFERROR(__xludf.DUMMYFUNCTION("IMPORTRANGE(""https://docs.google.com/spreadsheets/d/1-uDff_7J0KD5mKrp0Vvzr7lt3OU09vwQwhkpOPPYv2Y/edit?usp=sharing"",""งบพรบ!DM86"")"),0)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IFERROR(__xludf.DUMMYFUNCTION("IMPORTRANGE(""https://docs.google.com/spreadsheets/d/1eHaY18a8A9IcSdp1K8H6x8fbOy06t2VsZHhMHf-1x7Y/edit?usp=sharing"",""แผน!EC86"")"),22)</f>
        <v>22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226234.22</v>
      </c>
      <c r="R305" s="47">
        <f t="shared" ca="1" si="82"/>
        <v>226234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IFERROR(__xludf.DUMMYFUNCTION("IMPORTRANGE(""https://docs.google.com/spreadsheets/d/1ItG2mGa2ceCfYo0BwxsXqNm01IGEUdYcSSLTEv9YCik/edit?usp=sharing"",""เบิกจ่ายกองทุน!AQ86"")"),226234)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IFERROR(__xludf.DUMMYFUNCTION("IMPORTRANGE(""https://docs.google.com/spreadsheets/d/1ItG2mGa2ceCfYo0BwxsXqNm01IGEUdYcSSLTEv9YCik/edit?usp=sharing"",""เบิกจ่ายกองทุน!AR86"")"),0)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20000</v>
      </c>
      <c r="M320" s="132">
        <f ca="1">M321+M322</f>
        <v>20000</v>
      </c>
      <c r="N320" s="132">
        <f ca="1">N321+N322</f>
        <v>7590</v>
      </c>
      <c r="O320" s="132">
        <f t="shared" ref="O320:O328" ca="1" si="83">IF(L320&gt;0,N320*100/L320,0)</f>
        <v>37.950000000000003</v>
      </c>
      <c r="P320" s="132">
        <f t="shared" ref="P320:P328" ca="1" si="84">IF(M320&gt;0,N320*100/M320,0)</f>
        <v>37.950000000000003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20000</v>
      </c>
      <c r="M322" s="47">
        <f t="shared" ca="1" si="87"/>
        <v>20000</v>
      </c>
      <c r="N322" s="47">
        <f t="shared" ca="1" si="87"/>
        <v>7590</v>
      </c>
      <c r="O322" s="47">
        <f t="shared" ca="1" si="83"/>
        <v>37.950000000000003</v>
      </c>
      <c r="P322" s="47">
        <f t="shared" ca="1" si="84"/>
        <v>37.950000000000003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20000</v>
      </c>
      <c r="M323" s="47">
        <f ca="1">M324+M325</f>
        <v>20000</v>
      </c>
      <c r="N323" s="47">
        <f ca="1">N324+N325</f>
        <v>7590</v>
      </c>
      <c r="O323" s="47">
        <f t="shared" ca="1" si="83"/>
        <v>37.950000000000003</v>
      </c>
      <c r="P323" s="47">
        <f t="shared" ca="1" si="84"/>
        <v>37.950000000000003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IFERROR(__xludf.DUMMYFUNCTION("IMPORTRANGE(""https://docs.google.com/spreadsheets/d/1-uDff_7J0KD5mKrp0Vvzr7lt3OU09vwQwhkpOPPYv2Y/edit?usp=sharing"",""งบพรบ!EI86"")"),20000)</f>
        <v>20000</v>
      </c>
      <c r="M325" s="47">
        <f ca="1">IFERROR(__xludf.DUMMYFUNCTION("IMPORTRANGE(""https://docs.google.com/spreadsheets/d/1-uDff_7J0KD5mKrp0Vvzr7lt3OU09vwQwhkpOPPYv2Y/edit?usp=sharing"",""งบพรบ!EN86"")"),20000)</f>
        <v>20000</v>
      </c>
      <c r="N325" s="47">
        <f ca="1">IFERROR(__xludf.DUMMYFUNCTION("IMPORTRANGE(""https://docs.google.com/spreadsheets/d/1-uDff_7J0KD5mKrp0Vvzr7lt3OU09vwQwhkpOPPYv2Y/edit?usp=sharing"",""งบพรบ!EP86"")"),7590)</f>
        <v>7590</v>
      </c>
      <c r="O325" s="47">
        <f t="shared" ca="1" si="83"/>
        <v>37.950000000000003</v>
      </c>
      <c r="P325" s="47">
        <f t="shared" ca="1" si="84"/>
        <v>37.950000000000003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860</v>
      </c>
      <c r="J332" s="596">
        <f ca="1">J344+J347+J348+J349+J353</f>
        <v>2385</v>
      </c>
      <c r="K332" s="595">
        <f ca="1">IF(I332&gt;0,J332*100/I332,0)</f>
        <v>277.32558139534882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106000</v>
      </c>
      <c r="M333" s="132">
        <f ca="1">M334+M335</f>
        <v>111000</v>
      </c>
      <c r="N333" s="132">
        <f ca="1">N334+N335</f>
        <v>95793</v>
      </c>
      <c r="O333" s="132">
        <f t="shared" ref="O333:O341" ca="1" si="89">IF(L333&gt;0,N333*100/L333,0)</f>
        <v>90.370754716981139</v>
      </c>
      <c r="P333" s="132">
        <f t="shared" ref="P333:P341" ca="1" si="90">IF(M333&gt;0,N333*100/M333,0)</f>
        <v>86.3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106000</v>
      </c>
      <c r="M335" s="47">
        <f t="shared" ca="1" si="93"/>
        <v>111000</v>
      </c>
      <c r="N335" s="47">
        <f t="shared" ca="1" si="93"/>
        <v>95793</v>
      </c>
      <c r="O335" s="47">
        <f t="shared" ca="1" si="89"/>
        <v>90.370754716981139</v>
      </c>
      <c r="P335" s="47">
        <f t="shared" ca="1" si="90"/>
        <v>86.3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106000</v>
      </c>
      <c r="M336" s="47">
        <f ca="1">M337+M338</f>
        <v>111000</v>
      </c>
      <c r="N336" s="47">
        <f ca="1">N337+N338</f>
        <v>95793</v>
      </c>
      <c r="O336" s="47">
        <f t="shared" ca="1" si="89"/>
        <v>90.370754716981139</v>
      </c>
      <c r="P336" s="47">
        <f t="shared" ca="1" si="90"/>
        <v>86.3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IFERROR(__xludf.DUMMYFUNCTION("IMPORTRANGE(""https://docs.google.com/spreadsheets/d/1-uDff_7J0KD5mKrp0Vvzr7lt3OU09vwQwhkpOPPYv2Y/edit?usp=sharing"",""งบพรบ!ES86"")"),106000)</f>
        <v>106000</v>
      </c>
      <c r="M338" s="47">
        <f ca="1">IFERROR(__xludf.DUMMYFUNCTION("IMPORTRANGE(""https://docs.google.com/spreadsheets/d/1-uDff_7J0KD5mKrp0Vvzr7lt3OU09vwQwhkpOPPYv2Y/edit?usp=sharing"",""งบพรบ!EX86"")"),111000)</f>
        <v>111000</v>
      </c>
      <c r="N338" s="47">
        <f ca="1">IFERROR(__xludf.DUMMYFUNCTION("IMPORTRANGE(""https://docs.google.com/spreadsheets/d/1-uDff_7J0KD5mKrp0Vvzr7lt3OU09vwQwhkpOPPYv2Y/edit?usp=sharing"",""งบพรบ!EZ86"")"),95793)</f>
        <v>95793</v>
      </c>
      <c r="O338" s="47">
        <f t="shared" ca="1" si="89"/>
        <v>90.370754716981139</v>
      </c>
      <c r="P338" s="47">
        <f t="shared" ca="1" si="90"/>
        <v>86.3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408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IFERROR(__xludf.DUMMYFUNCTION("IMPORTRANGE(""https://docs.google.com/spreadsheets/d/1awYsYK3VOup2i3Pq_Yjnu8DRu_mYwSBnCR2QPthd0rU/edit?usp=sharing"",""ศูนย์ยกเว้นโฉนด!D86"")"),402)</f>
        <v>402</v>
      </c>
      <c r="K344" s="47">
        <f ca="1">IF(I344&gt;0,J344*100/I344,0)</f>
        <v>46.744186046511629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IFERROR(__xludf.DUMMYFUNCTION("IMPORTRANGE(""https://docs.google.com/spreadsheets/d/1awYsYK3VOup2i3Pq_Yjnu8DRu_mYwSBnCR2QPthd0rU/edit?usp=sharing"",""ศูนย์รวม!E86"")"),3)</f>
        <v>3</v>
      </c>
      <c r="K346" s="47">
        <f ca="1">IF(I346&gt;0,J346*100/I346,0)</f>
        <v>100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2540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IFERROR(__xludf.DUMMYFUNCTION("IMPORTRANGE(""https://docs.google.com/spreadsheets/d/1awYsYK3VOup2i3Pq_Yjnu8DRu_mYwSBnCR2QPthd0rU/edit?usp=sharing"",""โฉนดM3!G86"")"),563)</f>
        <v>563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IFERROR(__xludf.DUMMYFUNCTION("IMPORTRANGE(""https://docs.google.com/spreadsheets/d/1awYsYK3VOup2i3Pq_Yjnu8DRu_mYwSBnCR2QPthd0rU/edit?usp=sharing"",""โฉนดM3!H86"")"),1977)</f>
        <v>1977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607245</v>
      </c>
      <c r="M356" s="132">
        <f ca="1">M357+M358</f>
        <v>621045</v>
      </c>
      <c r="N356" s="132">
        <f ca="1">N357+N358</f>
        <v>513627.4</v>
      </c>
      <c r="O356" s="132">
        <f t="shared" ref="O356:O364" ca="1" si="95">IF(L356&gt;0,N356*100/L356,0)</f>
        <v>84.583224234040628</v>
      </c>
      <c r="P356" s="132">
        <f t="shared" ref="P356:P364" ca="1" si="96">IF(M356&gt;0,N356*100/M356,0)</f>
        <v>82.703733223840459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607245</v>
      </c>
      <c r="M358" s="47">
        <f t="shared" ca="1" si="99"/>
        <v>621045</v>
      </c>
      <c r="N358" s="47">
        <f t="shared" ca="1" si="99"/>
        <v>513627.4</v>
      </c>
      <c r="O358" s="47">
        <f t="shared" ca="1" si="95"/>
        <v>84.583224234040628</v>
      </c>
      <c r="P358" s="47">
        <f t="shared" ca="1" si="96"/>
        <v>82.703733223840459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607245</v>
      </c>
      <c r="M359" s="47">
        <f ca="1">M360+M361</f>
        <v>621045</v>
      </c>
      <c r="N359" s="47">
        <f ca="1">N360+N361</f>
        <v>513627.4</v>
      </c>
      <c r="O359" s="47">
        <f t="shared" ca="1" si="95"/>
        <v>84.583224234040628</v>
      </c>
      <c r="P359" s="47">
        <f t="shared" ca="1" si="96"/>
        <v>82.703733223840459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IFERROR(__xludf.DUMMYFUNCTION("IMPORTRANGE(""https://docs.google.com/spreadsheets/d/1-uDff_7J0KD5mKrp0Vvzr7lt3OU09vwQwhkpOPPYv2Y/edit?usp=sharing"",""งบพรบ!FC86"")"),607245)</f>
        <v>607245</v>
      </c>
      <c r="M361" s="47">
        <f ca="1">IFERROR(__xludf.DUMMYFUNCTION("IMPORTRANGE(""https://docs.google.com/spreadsheets/d/1-uDff_7J0KD5mKrp0Vvzr7lt3OU09vwQwhkpOPPYv2Y/edit?usp=sharing"",""งบพรบ!FH86"")"),621045)</f>
        <v>621045</v>
      </c>
      <c r="N361" s="47">
        <f ca="1">IFERROR(__xludf.DUMMYFUNCTION("IMPORTRANGE(""https://docs.google.com/spreadsheets/d/1-uDff_7J0KD5mKrp0Vvzr7lt3OU09vwQwhkpOPPYv2Y/edit?usp=sharing"",""งบพรบ!FJ86"")"),513627.4)</f>
        <v>513627.4</v>
      </c>
      <c r="O361" s="47">
        <f t="shared" ca="1" si="95"/>
        <v>84.583224234040628</v>
      </c>
      <c r="P361" s="47">
        <f t="shared" ca="1" si="96"/>
        <v>82.703733223840459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242</v>
      </c>
      <c r="J365" s="228">
        <f ca="1">J371</f>
        <v>128</v>
      </c>
      <c r="K365" s="229">
        <f ca="1">IF(I365&gt;0,J365*100/I365,0)</f>
        <v>52.892561983471076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IFERROR(__xludf.DUMMYFUNCTION("IMPORTRANGE(""https://docs.google.com/spreadsheets/d/1tdoBKaGub7dwA3U6UFTqxio9LNnvDCQjHKmttSEBsFQ/edit?usp=sharing"",""จัดที่ดิน!AB86"")"),156)</f>
        <v>156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IFERROR(__xludf.DUMMYFUNCTION("IMPORTRANGE(""https://docs.google.com/spreadsheets/d/1eHaY18a8A9IcSdp1K8H6x8fbOy06t2VsZHhMHf-1x7Y/edit?usp=sharing"",""แผน!EW86"")"),565)</f>
        <v>565</v>
      </c>
      <c r="J368" s="584">
        <f ca="1">IFERROR(__xludf.DUMMYFUNCTION("IMPORTRANGE(""https://docs.google.com/spreadsheets/d/1tdoBKaGub7dwA3U6UFTqxio9LNnvDCQjHKmttSEBsFQ/edit?usp=sharing"",""จัดที่ดิน!AC86"")"),1148.75)</f>
        <v>1148.75</v>
      </c>
      <c r="K368" s="47">
        <f t="shared" ca="1" si="101"/>
        <v>203.31858407079645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IFERROR(__xludf.DUMMYFUNCTION("IMPORTRANGE(""https://docs.google.com/spreadsheets/d/1eHaY18a8A9IcSdp1K8H6x8fbOy06t2VsZHhMHf-1x7Y/edit?usp=sharing"",""แผน!EX86"")"),242)</f>
        <v>242</v>
      </c>
      <c r="J369" s="152">
        <f ca="1">IFERROR(__xludf.DUMMYFUNCTION("IMPORTRANGE(""https://docs.google.com/spreadsheets/d/1tdoBKaGub7dwA3U6UFTqxio9LNnvDCQjHKmttSEBsFQ/edit?usp=sharing"",""จัดที่ดิน!AD86"")"),150)</f>
        <v>150</v>
      </c>
      <c r="K369" s="47">
        <f t="shared" ca="1" si="101"/>
        <v>61.983471074380162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IFERROR(__xludf.DUMMYFUNCTION("IMPORTRANGE(""https://docs.google.com/spreadsheets/d/1tdoBKaGub7dwA3U6UFTqxio9LNnvDCQjHKmttSEBsFQ/edit?usp=sharing"",""จัดที่ดิน!AE86"")"),1620.65)</f>
        <v>1620.65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IFERROR(__xludf.DUMMYFUNCTION("IMPORTRANGE(""https://docs.google.com/spreadsheets/d/1eHaY18a8A9IcSdp1K8H6x8fbOy06t2VsZHhMHf-1x7Y/edit?usp=sharing"",""แผน!EY86"")"),242)</f>
        <v>242</v>
      </c>
      <c r="J371" s="152">
        <f ca="1">IFERROR(__xludf.DUMMYFUNCTION("IMPORTRANGE(""https://docs.google.com/spreadsheets/d/1tdoBKaGub7dwA3U6UFTqxio9LNnvDCQjHKmttSEBsFQ/edit?usp=sharing"",""จัดที่ดิน!AF86"")"),128)</f>
        <v>128</v>
      </c>
      <c r="K371" s="47">
        <f t="shared" ca="1" si="101"/>
        <v>52.892561983471076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IFERROR(__xludf.DUMMYFUNCTION("IMPORTRANGE(""https://docs.google.com/spreadsheets/d/1tdoBKaGub7dwA3U6UFTqxio9LNnvDCQjHKmttSEBsFQ/edit?usp=sharing"",""จัดที่ดิน!AG86"")"),1320.8)</f>
        <v>1320.8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62500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IFERROR(__xludf.DUMMYFUNCTION("IMPORTRANGE(""https://docs.google.com/spreadsheets/d/1ItG2mGa2ceCfYo0BwxsXqNm01IGEUdYcSSLTEv9YCik/edit?usp=sharing"",""เบิกจ่ายกองทุน!BA86"")"),0)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IFERROR(__xludf.DUMMYFUNCTION("IMPORTRANGE(""https://docs.google.com/spreadsheets/d/1w5rwWK1o49a35cNtocGL0gxDwhFSTZUQu90BiH9_zqM/edit?usp=sharing"",""RTK!L86"")"),0)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IFERROR(__xludf.DUMMYFUNCTION("IMPORTRANGE(""https://docs.google.com/spreadsheets/d/1w5rwWK1o49a35cNtocGL0gxDwhFSTZUQu90BiH9_zqM/edit?usp=sharing"",""RTK!K86"")"),0)</f>
        <v>0</v>
      </c>
      <c r="J388" s="483">
        <f ca="1">IFERROR(__xludf.DUMMYFUNCTION("IMPORTRANGE(""https://docs.google.com/spreadsheets/d/1w5rwWK1o49a35cNtocGL0gxDwhFSTZUQu90BiH9_zqM/edit?usp=sharing"",""RTK!M86"")"),0)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IFERROR(__xludf.DUMMYFUNCTION("IMPORTRANGE(""https://docs.google.com/spreadsheets/d/1ItG2mGa2ceCfYo0BwxsXqNm01IGEUdYcSSLTEv9YCik/edit?usp=sharing"",""เบิกจ่ายกองทุน!BH86"")"),0)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IFERROR(__xludf.DUMMYFUNCTION("IMPORTRANGE(""https://docs.google.com/spreadsheets/d/1ItG2mGa2ceCfYo0BwxsXqNm01IGEUdYcSSLTEv9YCik/edit?usp=sharing"",""เบิกจ่ายกองทุน!BI86"")"),0)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IFERROR(__xludf.DUMMYFUNCTION("IMPORTRANGE(""https://docs.google.com/spreadsheets/d/1ItG2mGa2ceCfYo0BwxsXqNm01IGEUdYcSSLTEv9YCik/edit?usp=sharing"",""เบิกจ่ายกองทุน!BJ86"")"),0)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IFERROR(__xludf.DUMMYFUNCTION("IMPORTRANGE(""https://docs.google.com/spreadsheets/d/1eHaY18a8A9IcSdp1K8H6x8fbOy06t2VsZHhMHf-1x7Y/edit?usp=sharing"",""แผน!HN86"")"),0)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IFERROR(__xludf.DUMMYFUNCTION("IMPORTRANGE(""https://docs.google.com/spreadsheets/d/1eHaY18a8A9IcSdp1K8H6x8fbOy06t2VsZHhMHf-1x7Y/edit?usp=sharing"",""แผน!HO86"")"),0)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460185</v>
      </c>
      <c r="R493" s="132">
        <f ca="1">R494+R495</f>
        <v>460185</v>
      </c>
      <c r="S493" s="132">
        <f ca="1">S494+S495</f>
        <v>148470</v>
      </c>
      <c r="T493" s="132">
        <f t="shared" ref="T493:T501" ca="1" si="122">IF(Q493&gt;0,S493*100/Q493,0)</f>
        <v>32.263111574692786</v>
      </c>
      <c r="U493" s="132">
        <f t="shared" ref="U493:U501" ca="1" si="123">IF(R493&gt;0,S493*100/R493,0)</f>
        <v>32.263111574692786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460185</v>
      </c>
      <c r="R495" s="47">
        <f t="shared" ca="1" si="125"/>
        <v>460185</v>
      </c>
      <c r="S495" s="47">
        <f t="shared" ca="1" si="125"/>
        <v>148470</v>
      </c>
      <c r="T495" s="47">
        <f t="shared" ca="1" si="122"/>
        <v>32.263111574692786</v>
      </c>
      <c r="U495" s="47">
        <f t="shared" ca="1" si="123"/>
        <v>32.263111574692786</v>
      </c>
    </row>
    <row r="496" spans="1:21" ht="18.75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460185</v>
      </c>
      <c r="R496" s="47">
        <f ca="1">R497+R498</f>
        <v>460185</v>
      </c>
      <c r="S496" s="47">
        <f ca="1">S497+S498</f>
        <v>148470</v>
      </c>
      <c r="T496" s="47">
        <f t="shared" ca="1" si="122"/>
        <v>32.263111574692786</v>
      </c>
      <c r="U496" s="47">
        <f t="shared" ca="1" si="123"/>
        <v>32.263111574692786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IFERROR(__xludf.DUMMYFUNCTION("IMPORTRANGE(""https://docs.google.com/spreadsheets/d/1ItG2mGa2ceCfYo0BwxsXqNm01IGEUdYcSSLTEv9YCik/edit?usp=sharing"",""เบิกจ่ายกองทุน!Y86"")"),460185)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IFERROR(__xludf.DUMMYFUNCTION("IMPORTRANGE(""https://docs.google.com/spreadsheets/d/1ItG2mGa2ceCfYo0BwxsXqNm01IGEUdYcSSLTEv9YCik/edit?usp=sharing"",""เบิกจ่ายกองทุน!Z86"")"),148470)</f>
        <v>148470</v>
      </c>
      <c r="T498" s="47">
        <f t="shared" ca="1" si="122"/>
        <v>32.263111574692786</v>
      </c>
      <c r="U498" s="47">
        <f t="shared" ca="1" si="123"/>
        <v>32.263111574692786</v>
      </c>
    </row>
    <row r="499" spans="1:21" ht="18.75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 ca="1">IF(AND(J504=I503,J505=I503,J506=I503,J507=I503),I503,0)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IFERROR(__xludf.DUMMYFUNCTION("IMPORTRANGE(""https://docs.google.com/spreadsheets/d/1eHaY18a8A9IcSdp1K8H6x8fbOy06t2VsZHhMHf-1x7Y/edit?usp=sharing"",""แผน!GY86"")"),0)</f>
        <v>0</v>
      </c>
      <c r="J504" s="167">
        <v>30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IFERROR(__xludf.DUMMYFUNCTION("IMPORTRANGE(""https://docs.google.com/spreadsheets/d/1eHaY18a8A9IcSdp1K8H6x8fbOy06t2VsZHhMHf-1x7Y/edit?usp=sharing"",""แผน!HB86"")"),0)</f>
        <v>0</v>
      </c>
      <c r="J507" s="167">
        <v>10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t="shared" ref="T616:T624" ca="1" si="159">IF(Q616&gt;0,S616*100/Q616,0)</f>
        <v>19.710144927536231</v>
      </c>
      <c r="U616" s="132">
        <f t="shared" ref="U616:U624" ca="1" si="160">IF(R616&gt;0,S616*100/R616,0)</f>
        <v>19.710144927536231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6900</v>
      </c>
      <c r="R618" s="47">
        <f t="shared" ca="1" si="162"/>
        <v>6900</v>
      </c>
      <c r="S618" s="47">
        <f t="shared" ca="1" si="162"/>
        <v>1360</v>
      </c>
      <c r="T618" s="47">
        <f t="shared" ca="1" si="159"/>
        <v>19.710144927536231</v>
      </c>
      <c r="U618" s="47">
        <f t="shared" ca="1" si="160"/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t="shared" ca="1" si="159"/>
        <v>19.710144927536231</v>
      </c>
      <c r="U619" s="47">
        <f t="shared" ca="1" si="160"/>
        <v>19.710144927536231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t="shared" ca="1" si="159"/>
        <v>19.710144927536231</v>
      </c>
      <c r="U621" s="47">
        <f t="shared" ca="1" si="160"/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69540</v>
      </c>
      <c r="R692" s="47">
        <f t="shared" ca="1" si="174"/>
        <v>69540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69540</v>
      </c>
      <c r="R693" s="47">
        <f ca="1">R694+R695</f>
        <v>69540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t="shared" ca="1" si="175"/>
        <v>66.666666666666671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IFERROR(__xludf.DUMMYFUNCTION("IMPORTRANGE(""https://docs.google.com/spreadsheets/d/1eHaY18a8A9IcSdp1K8H6x8fbOy06t2VsZHhMHf-1x7Y/edit?usp=sharing"",""แผน!GA86"")"),11)</f>
        <v>11</v>
      </c>
      <c r="J726" s="433">
        <f>J742+J746+J749</f>
        <v>10</v>
      </c>
      <c r="K726" s="434">
        <f ca="1">IF(I726&gt;0,J726*100/I726,0)</f>
        <v>90.909090909090907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IFERROR(__xludf.DUMMYFUNCTION("IMPORTRANGE(""https://docs.google.com/spreadsheets/d/1eHaY18a8A9IcSdp1K8H6x8fbOy06t2VsZHhMHf-1x7Y/edit?usp=sharing"",""แผน!FZ86"")"),100)</f>
        <v>100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16280</v>
      </c>
      <c r="T728" s="132">
        <f t="shared" ref="T728:T736" ca="1" si="184">IF(Q728&gt;0,S728*100/Q728,0)</f>
        <v>14.551044850824976</v>
      </c>
      <c r="U728" s="132">
        <f t="shared" ref="U728:U736" ca="1" si="185">IF(R728&gt;0,S728*100/R728,0)</f>
        <v>14.551044850824976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111882</v>
      </c>
      <c r="R730" s="47">
        <f t="shared" ca="1" si="187"/>
        <v>111882</v>
      </c>
      <c r="S730" s="47">
        <f t="shared" ca="1" si="187"/>
        <v>16280</v>
      </c>
      <c r="T730" s="47">
        <f t="shared" ca="1" si="184"/>
        <v>14.551044850824976</v>
      </c>
      <c r="U730" s="47">
        <f t="shared" ca="1" si="185"/>
        <v>14.551044850824976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16280</v>
      </c>
      <c r="T731" s="47">
        <f t="shared" ca="1" si="184"/>
        <v>14.551044850824976</v>
      </c>
      <c r="U731" s="47">
        <f t="shared" ca="1" si="185"/>
        <v>14.551044850824976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IFERROR(__xludf.DUMMYFUNCTION("IMPORTRANGE(""https://docs.google.com/spreadsheets/d/1ItG2mGa2ceCfYo0BwxsXqNm01IGEUdYcSSLTEv9YCik/edit?usp=sharing"",""เบิกจ่ายกองทุน!Q86"")"),16280)</f>
        <v>16280</v>
      </c>
      <c r="T733" s="47">
        <f t="shared" ca="1" si="184"/>
        <v>14.551044850824976</v>
      </c>
      <c r="U733" s="47">
        <f t="shared" ca="1" si="185"/>
        <v>14.551044850824976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IFERROR(__xludf.DUMMYFUNCTION("IMPORTRANGE(""https://docs.google.com/spreadsheets/d/1eHaY18a8A9IcSdp1K8H6x8fbOy06t2VsZHhMHf-1x7Y/edit?usp=sharing"",""แผน!GB86"")"),80)</f>
        <v>80</v>
      </c>
      <c r="J740" s="474">
        <v>80</v>
      </c>
      <c r="K740" s="482">
        <f ca="1">IF(I740&gt;0,J740*100/I740,0)</f>
        <v>100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IFERROR(__xludf.DUMMYFUNCTION("IMPORTRANGE(""https://docs.google.com/spreadsheets/d/1eHaY18a8A9IcSdp1K8H6x8fbOy06t2VsZHhMHf-1x7Y/edit?usp=sharing"",""แผน!GC86"")"),8)</f>
        <v>8</v>
      </c>
      <c r="J742" s="474">
        <v>8</v>
      </c>
      <c r="K742" s="482">
        <f ca="1">IF(I742&gt;0,J742*100/I742,0)</f>
        <v>100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IFERROR(__xludf.DUMMYFUNCTION("IMPORTRANGE(""https://docs.google.com/spreadsheets/d/1eHaY18a8A9IcSdp1K8H6x8fbOy06t2VsZHhMHf-1x7Y/edit?usp=sharing"",""แผน!GD86"")"),20)</f>
        <v>20</v>
      </c>
      <c r="J744" s="474">
        <v>20</v>
      </c>
      <c r="K744" s="482">
        <f ca="1">IF(I744&gt;0,J744*100/I744,0)</f>
        <v>100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IFERROR(__xludf.DUMMYFUNCTION("IMPORTRANGE(""https://docs.google.com/spreadsheets/d/1eHaY18a8A9IcSdp1K8H6x8fbOy06t2VsZHhMHf-1x7Y/edit?usp=sharing"",""แผน!GE86"")"),2)</f>
        <v>2</v>
      </c>
      <c r="J746" s="474">
        <v>2</v>
      </c>
      <c r="K746" s="482">
        <f ca="1">IF(I746&gt;0,J746*100/I746,0)</f>
        <v>100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IFERROR(__xludf.DUMMYFUNCTION("IMPORTRANGE(""https://docs.google.com/spreadsheets/d/1eHaY18a8A9IcSdp1K8H6x8fbOy06t2VsZHhMHf-1x7Y/edit?usp=sharing"",""แผน!GF86"")"),1)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IFERROR(__xludf.DUMMYFUNCTION("IMPORTRANGE(""https://docs.google.com/spreadsheets/d/1eHaY18a8A9IcSdp1K8H6x8fbOy06t2VsZHhMHf-1x7Y/edit?usp=sharing"",""แผน!GB86"")"),80)</f>
        <v>80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IFERROR(__xludf.DUMMYFUNCTION("IMPORTRANGE(""https://docs.google.com/spreadsheets/d/1eHaY18a8A9IcSdp1K8H6x8fbOy06t2VsZHhMHf-1x7Y/edit?usp=sharing"",""แผน!GD86"")"),20)</f>
        <v>20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IFERROR(__xludf.DUMMYFUNCTION("IMPORTRANGE(""https://docs.google.com/spreadsheets/d/1ItG2mGa2ceCfYo0BwxsXqNm01IGEUdYcSSLTEv9YCik/edit?usp=sharing"",""เบิกจ่ายกองทุน!W86"")"),0)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IFERROR(__xludf.DUMMYFUNCTION("IMPORTRANGE(""https://docs.google.com/spreadsheets/d/1eHaY18a8A9IcSdp1K8H6x8fbOy06t2VsZHhMHf-1x7Y/edit?usp=sharing"",""แผน!FI86"")"),0)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IFERROR(__xludf.DUMMYFUNCTION("IMPORTRANGE(""https://docs.google.com/spreadsheets/d/10OvvATaaLtwErnr3qtWFcTmtbfpFEt5Bsqel9sXx0uE/edit?usp=sharing"",""งานกองทุน!D86"")"),2646651.76)</f>
        <v>2646651.7599999998</v>
      </c>
      <c r="J778" s="152">
        <f ca="1">IFERROR(__xludf.DUMMYFUNCTION("IMPORTRANGE(""https://docs.google.com/spreadsheets/d/10OvvATaaLtwErnr3qtWFcTmtbfpFEt5Bsqel9sXx0uE/edit?usp=sharing"",""งานกองทุน!F86"")"),1449654.79)</f>
        <v>1449654.79</v>
      </c>
      <c r="K778" s="47">
        <f t="shared" ref="K778:K785" ca="1" si="194">IF(I778&gt;0,J778*100/I778,0)</f>
        <v>54.773159503235895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IFERROR(__xludf.DUMMYFUNCTION("IMPORTRANGE(""https://docs.google.com/spreadsheets/d/10OvvATaaLtwErnr3qtWFcTmtbfpFEt5Bsqel9sXx0uE/edit?usp=sharing"",""งานกองทุน!C86"")"),193)</f>
        <v>193</v>
      </c>
      <c r="J779" s="152">
        <f ca="1">IFERROR(__xludf.DUMMYFUNCTION("IMPORTRANGE(""https://docs.google.com/spreadsheets/d/10OvvATaaLtwErnr3qtWFcTmtbfpFEt5Bsqel9sXx0uE/edit?usp=sharing"",""งานกองทุน!E86"")"),124)</f>
        <v>124</v>
      </c>
      <c r="K779" s="47">
        <f t="shared" ca="1" si="194"/>
        <v>64.248704663212436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IFERROR(__xludf.DUMMYFUNCTION("IMPORTRANGE(""https://docs.google.com/spreadsheets/d/10OvvATaaLtwErnr3qtWFcTmtbfpFEt5Bsqel9sXx0uE/edit?usp=sharing"",""งานกองทุน!K86"")"),266234.24)</f>
        <v>266234.23999999999</v>
      </c>
      <c r="K780" s="47">
        <f t="shared" ca="1" si="194"/>
        <v>9.8479385322646884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IFERROR(__xludf.DUMMYFUNCTION("IMPORTRANGE(""https://docs.google.com/spreadsheets/d/10OvvATaaLtwErnr3qtWFcTmtbfpFEt5Bsqel9sXx0uE/edit?usp=sharing"",""งานกองทุน!J86"")"),69)</f>
        <v>69</v>
      </c>
      <c r="K781" s="47">
        <f t="shared" ca="1" si="194"/>
        <v>69.696969696969703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IFERROR(__xludf.DUMMYFUNCTION("IMPORTRANGE(""https://docs.google.com/spreadsheets/d/10OvvATaaLtwErnr3qtWFcTmtbfpFEt5Bsqel9sXx0uE/edit?usp=sharing"",""งานกองทุน!U86"")"),4850000)</f>
        <v>4850000</v>
      </c>
      <c r="K784" s="47">
        <f t="shared" ca="1" si="194"/>
        <v>262.44588744588742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IFERROR(__xludf.DUMMYFUNCTION("IMPORTRANGE(""https://docs.google.com/spreadsheets/d/10OvvATaaLtwErnr3qtWFcTmtbfpFEt5Bsqel9sXx0uE/edit?usp=sharing"",""งานกองทุน!T86"")"),97)</f>
        <v>97</v>
      </c>
      <c r="K785" s="111">
        <f t="shared" ca="1" si="194"/>
        <v>146.96969696969697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C82EE-F741-467D-A6E0-92AEEC2036A9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325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1088325</v>
      </c>
      <c r="M18" s="35">
        <f ca="1">M19+M20</f>
        <v>1207865</v>
      </c>
      <c r="N18" s="35">
        <f ca="1">N19+N20</f>
        <v>845483.41999999993</v>
      </c>
      <c r="O18" s="35">
        <f t="shared" ref="O18:O26" ca="1" si="0">IF(L18&gt;0,N18*100/L18,0)</f>
        <v>77.686667126088253</v>
      </c>
      <c r="P18" s="35">
        <f t="shared" ref="P18:P26" ca="1" si="1">IF(M18&gt;0,N18*100/M18,0)</f>
        <v>69.998171981140274</v>
      </c>
      <c r="Q18" s="35">
        <f ca="1">Q19+Q20</f>
        <v>721810.22</v>
      </c>
      <c r="R18" s="35">
        <f ca="1">R19+R20</f>
        <v>712435</v>
      </c>
      <c r="S18" s="35">
        <f ca="1">S19+S20</f>
        <v>171794.55000000002</v>
      </c>
      <c r="T18" s="35">
        <f t="shared" ref="T18:T26" ca="1" si="2">IF(Q18&gt;0,S18*100/Q18,0)</f>
        <v>23.800515043968208</v>
      </c>
      <c r="U18" s="35">
        <f t="shared" ref="U18:U26" ca="1" si="3">IF(R18&gt;0,S18*100/R18,0)</f>
        <v>24.113715637216028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1088325</v>
      </c>
      <c r="M20" s="39">
        <f t="shared" ca="1" si="4"/>
        <v>1207865</v>
      </c>
      <c r="N20" s="39">
        <f t="shared" ca="1" si="4"/>
        <v>845483.41999999993</v>
      </c>
      <c r="O20" s="39">
        <f t="shared" ca="1" si="0"/>
        <v>77.686667126088253</v>
      </c>
      <c r="P20" s="39">
        <f t="shared" ca="1" si="1"/>
        <v>69.998171981140274</v>
      </c>
      <c r="Q20" s="39">
        <f t="shared" ca="1" si="5"/>
        <v>721810.22</v>
      </c>
      <c r="R20" s="39">
        <f t="shared" ca="1" si="5"/>
        <v>712435</v>
      </c>
      <c r="S20" s="39">
        <f t="shared" ca="1" si="5"/>
        <v>171794.55000000002</v>
      </c>
      <c r="T20" s="39">
        <f t="shared" ca="1" si="2"/>
        <v>23.800515043968208</v>
      </c>
      <c r="U20" s="39">
        <f t="shared" ca="1" si="3"/>
        <v>24.113715637216028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1088325</v>
      </c>
      <c r="M21" s="47">
        <f ca="1">M22+M23</f>
        <v>1207865</v>
      </c>
      <c r="N21" s="47">
        <f ca="1">N22+N23</f>
        <v>845483.41999999993</v>
      </c>
      <c r="O21" s="47">
        <f t="shared" ca="1" si="0"/>
        <v>77.686667126088253</v>
      </c>
      <c r="P21" s="47">
        <f t="shared" ca="1" si="1"/>
        <v>69.998171981140274</v>
      </c>
      <c r="Q21" s="47">
        <f ca="1">Q22+Q23</f>
        <v>721810.22</v>
      </c>
      <c r="R21" s="47">
        <f ca="1">R22+R23</f>
        <v>712435</v>
      </c>
      <c r="S21" s="47">
        <f ca="1">S22+S23</f>
        <v>171794.55000000002</v>
      </c>
      <c r="T21" s="47">
        <f t="shared" ca="1" si="2"/>
        <v>23.800515043968208</v>
      </c>
      <c r="U21" s="47">
        <f t="shared" ca="1" si="3"/>
        <v>24.113715637216028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1088325</v>
      </c>
      <c r="M23" s="47">
        <f t="shared" ca="1" si="6"/>
        <v>1207865</v>
      </c>
      <c r="N23" s="47">
        <f t="shared" ca="1" si="6"/>
        <v>845483.41999999993</v>
      </c>
      <c r="O23" s="47">
        <f t="shared" ca="1" si="0"/>
        <v>77.686667126088253</v>
      </c>
      <c r="P23" s="47">
        <f t="shared" ca="1" si="1"/>
        <v>69.998171981140274</v>
      </c>
      <c r="Q23" s="47">
        <f t="shared" ca="1" si="7"/>
        <v>721810.22</v>
      </c>
      <c r="R23" s="47">
        <f t="shared" ca="1" si="7"/>
        <v>712435</v>
      </c>
      <c r="S23" s="47">
        <f t="shared" ca="1" si="7"/>
        <v>171794.55000000002</v>
      </c>
      <c r="T23" s="47">
        <f t="shared" ca="1" si="2"/>
        <v>23.800515043968208</v>
      </c>
      <c r="U23" s="47">
        <f t="shared" ca="1" si="3"/>
        <v>24.113715637216028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1088325</v>
      </c>
      <c r="M40" s="703">
        <f ca="1">M44+M59+M72+M94+M125+M139+M157+M173+M186+M266+M282+M303+M320+M333+M356</f>
        <v>1207865</v>
      </c>
      <c r="N40" s="703">
        <f ca="1">N44+N59+N72+N94+N125+N139+N157+N173+N186+N266+N282+N303+N320+N333+N356</f>
        <v>845483.41999999993</v>
      </c>
      <c r="O40" s="703">
        <f ca="1">IF(L40&gt;0,N40*100/L40,0)</f>
        <v>77.686667126088253</v>
      </c>
      <c r="P40" s="703">
        <f ca="1">IF(M40&gt;0,N40*100/M40,0)</f>
        <v>69.998171981140274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224450</v>
      </c>
      <c r="M44" s="79">
        <f ca="1">M45+M46</f>
        <v>298240</v>
      </c>
      <c r="N44" s="79">
        <f ca="1">N45+N46</f>
        <v>242980</v>
      </c>
      <c r="O44" s="79">
        <f t="shared" ref="O44:O52" ca="1" si="10">IF(L44&gt;0,N44*100/L44,0)</f>
        <v>108.25573624415237</v>
      </c>
      <c r="P44" s="79">
        <f t="shared" ref="P44:P52" ca="1" si="11">IF(M44&gt;0,N44*100/M44,0)</f>
        <v>81.471298283261802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224450</v>
      </c>
      <c r="M46" s="83">
        <f t="shared" ca="1" si="14"/>
        <v>298240</v>
      </c>
      <c r="N46" s="83">
        <f t="shared" ca="1" si="14"/>
        <v>242980</v>
      </c>
      <c r="O46" s="83">
        <f t="shared" ca="1" si="10"/>
        <v>108.25573624415237</v>
      </c>
      <c r="P46" s="83">
        <f t="shared" ca="1" si="11"/>
        <v>81.471298283261802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224450</v>
      </c>
      <c r="M47" s="47">
        <f ca="1">M48+M49</f>
        <v>298240</v>
      </c>
      <c r="N47" s="47">
        <f ca="1">N48+N49</f>
        <v>242980</v>
      </c>
      <c r="O47" s="47">
        <f t="shared" ca="1" si="10"/>
        <v>108.25573624415237</v>
      </c>
      <c r="P47" s="47">
        <f t="shared" ca="1" si="11"/>
        <v>81.471298283261802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IFERROR(__xludf.DUMMYFUNCTION("IMPORTRANGE(""https://docs.google.com/spreadsheets/d/1-uDff_7J0KD5mKrp0Vvzr7lt3OU09vwQwhkpOPPYv2Y/edit?usp=sharing"",""งบพรบ!P87"")"),224450)</f>
        <v>224450</v>
      </c>
      <c r="M49" s="47">
        <f ca="1">IFERROR(__xludf.DUMMYFUNCTION("IMPORTRANGE(""https://docs.google.com/spreadsheets/d/1-uDff_7J0KD5mKrp0Vvzr7lt3OU09vwQwhkpOPPYv2Y/edit?usp=sharing"",""งบพรบ!V87"")"),298240)</f>
        <v>298240</v>
      </c>
      <c r="N49" s="47">
        <f ca="1">IFERROR(__xludf.DUMMYFUNCTION("IMPORTRANGE(""https://docs.google.com/spreadsheets/d/1-uDff_7J0KD5mKrp0Vvzr7lt3OU09vwQwhkpOPPYv2Y/edit?usp=sharing"",""งบพรบ!Y87"")"),242980)</f>
        <v>242980</v>
      </c>
      <c r="O49" s="47">
        <f t="shared" ca="1" si="10"/>
        <v>108.25573624415237</v>
      </c>
      <c r="P49" s="47">
        <f t="shared" ca="1" si="11"/>
        <v>81.471298283261802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215400</v>
      </c>
      <c r="M59" s="106">
        <f ca="1">M60+M61</f>
        <v>215400</v>
      </c>
      <c r="N59" s="106">
        <f ca="1">N60+N61</f>
        <v>135197.07</v>
      </c>
      <c r="O59" s="106">
        <f t="shared" ref="O59:O67" ca="1" si="16">IF(L59&gt;0,N59*100/L59,0)</f>
        <v>62.765584958217268</v>
      </c>
      <c r="P59" s="106">
        <f t="shared" ref="P59:P67" ca="1" si="17">IF(M59&gt;0,N59*100/M59,0)</f>
        <v>62.765584958217268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215400</v>
      </c>
      <c r="M61" s="109">
        <f t="shared" ca="1" si="20"/>
        <v>215400</v>
      </c>
      <c r="N61" s="109">
        <f t="shared" ca="1" si="20"/>
        <v>135197.07</v>
      </c>
      <c r="O61" s="109">
        <f t="shared" ca="1" si="16"/>
        <v>62.765584958217268</v>
      </c>
      <c r="P61" s="109">
        <f t="shared" ca="1" si="17"/>
        <v>62.765584958217268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215400</v>
      </c>
      <c r="M62" s="47">
        <f ca="1">M63+M64</f>
        <v>215400</v>
      </c>
      <c r="N62" s="47">
        <f ca="1">N63+N64</f>
        <v>135197.07</v>
      </c>
      <c r="O62" s="47">
        <f t="shared" ca="1" si="16"/>
        <v>62.765584958217268</v>
      </c>
      <c r="P62" s="47">
        <f t="shared" ca="1" si="17"/>
        <v>62.765584958217268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IFERROR(__xludf.DUMMYFUNCTION("IMPORTRANGE(""https://docs.google.com/spreadsheets/d/1-uDff_7J0KD5mKrp0Vvzr7lt3OU09vwQwhkpOPPYv2Y/edit?usp=sharing"",""งบพรบ!AC87"")"),215400)</f>
        <v>215400</v>
      </c>
      <c r="M64" s="47">
        <f ca="1">IFERROR(__xludf.DUMMYFUNCTION("IMPORTRANGE(""https://docs.google.com/spreadsheets/d/1-uDff_7J0KD5mKrp0Vvzr7lt3OU09vwQwhkpOPPYv2Y/edit?usp=sharing"",""งบพรบ!AH87"")"),215400)</f>
        <v>215400</v>
      </c>
      <c r="N64" s="47">
        <f ca="1">IFERROR(__xludf.DUMMYFUNCTION("IMPORTRANGE(""https://docs.google.com/spreadsheets/d/1-uDff_7J0KD5mKrp0Vvzr7lt3OU09vwQwhkpOPPYv2Y/edit?usp=sharing"",""งบพรบ!AJ87"")"),135197.07)</f>
        <v>135197.07</v>
      </c>
      <c r="O64" s="47">
        <f t="shared" ca="1" si="16"/>
        <v>62.765584958217268</v>
      </c>
      <c r="P64" s="47">
        <f t="shared" ca="1" si="17"/>
        <v>62.765584958217268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IFERROR(__xludf.DUMMYFUNCTION("IMPORTRANGE(""https://docs.google.com/spreadsheets/d/1ItG2mGa2ceCfYo0BwxsXqNm01IGEUdYcSSLTEv9YCik/edit?usp=sharing"",""เบิกจ่ายกองทุน!AS87"")"),0)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IFERROR(__xludf.DUMMYFUNCTION("IMPORTRANGE(""https://docs.google.com/spreadsheets/d/1ItG2mGa2ceCfYo0BwxsXqNm01IGEUdYcSSLTEv9YCik/edit?usp=sharing"",""เบิกจ่ายกองทุน!AT87"")"),0)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IFERROR(__xludf.DUMMYFUNCTION("IMPORTRANGE(""https://docs.google.com/spreadsheets/d/1ItG2mGa2ceCfYo0BwxsXqNm01IGEUdYcSSLTEv9YCik/edit?usp=sharing"",""เบิกจ่ายกองทุน!AU87"")"),0)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84420</v>
      </c>
      <c r="R96" s="47">
        <f t="shared" ca="1" si="34"/>
        <v>84420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IFERROR(__xludf.DUMMYFUNCTION("IMPORTRANGE(""https://docs.google.com/spreadsheets/d/1-uDff_7J0KD5mKrp0Vvzr7lt3OU09vwQwhkpOPPYv2Y/edit?usp=sharing"",""งบพรบ!AW87"")"),0)</f>
        <v>0</v>
      </c>
      <c r="M99" s="47">
        <f ca="1">IFERROR(__xludf.DUMMYFUNCTION("IMPORTRANGE(""https://docs.google.com/spreadsheets/d/1-uDff_7J0KD5mKrp0Vvzr7lt3OU09vwQwhkpOPPYv2Y/edit?usp=sharing"",""งบพรบ!BB87"")"),0)</f>
        <v>0</v>
      </c>
      <c r="N99" s="47">
        <f ca="1">IFERROR(__xludf.DUMMYFUNCTION("IMPORTRANGE(""https://docs.google.com/spreadsheets/d/1-uDff_7J0KD5mKrp0Vvzr7lt3OU09vwQwhkpOPPYv2Y/edit?usp=sharing"",""งบพรบ!BD87"")"),0)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IFERROR(__xludf.DUMMYFUNCTION("IMPORTRANGE(""https://docs.google.com/spreadsheets/d/1ItG2mGa2ceCfYo0BwxsXqNm01IGEUdYcSSLTEv9YCik/edit?usp=sharing"",""เบิกจ่ายกองทุน!AE87"")"),84420)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IFERROR(__xludf.DUMMYFUNCTION("IMPORTRANGE(""https://docs.google.com/spreadsheets/d/1ItG2mGa2ceCfYo0BwxsXqNm01IGEUdYcSSLTEv9YCik/edit?usp=sharing"",""เบิกจ่ายกองทุน!AF87"")"),0)</f>
        <v>0</v>
      </c>
      <c r="T99" s="47">
        <f t="shared" ca="1" si="31"/>
        <v>0</v>
      </c>
      <c r="U99" s="47">
        <f t="shared" ca="1" si="32"/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64080</v>
      </c>
      <c r="T117" s="132">
        <f t="shared" ref="T117:T125" ca="1" si="37">IF(Q117&gt;0,S117*100/Q117,0)</f>
        <v>36.899689047564209</v>
      </c>
      <c r="U117" s="132">
        <f t="shared" ref="U117:U125" ca="1" si="38">IF(R117&gt;0,S117*100/R117,0)</f>
        <v>36.899689047564209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173660</v>
      </c>
      <c r="R119" s="47">
        <f t="shared" ca="1" si="40"/>
        <v>173660</v>
      </c>
      <c r="S119" s="47">
        <f t="shared" ca="1" si="40"/>
        <v>64080</v>
      </c>
      <c r="T119" s="47">
        <f t="shared" ca="1" si="37"/>
        <v>36.899689047564209</v>
      </c>
      <c r="U119" s="47">
        <f t="shared" ca="1" si="38"/>
        <v>36.899689047564209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64080</v>
      </c>
      <c r="T120" s="47">
        <f t="shared" ca="1" si="37"/>
        <v>36.899689047564209</v>
      </c>
      <c r="U120" s="47">
        <f t="shared" ca="1" si="38"/>
        <v>36.899689047564209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IFERROR(__xludf.DUMMYFUNCTION("IMPORTRANGE(""https://docs.google.com/spreadsheets/d/1ItG2mGa2ceCfYo0BwxsXqNm01IGEUdYcSSLTEv9YCik/edit?usp=sharing"",""เบิกจ่ายกองทุน!S87"")"),173660)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IFERROR(__xludf.DUMMYFUNCTION("IMPORTRANGE(""https://docs.google.com/spreadsheets/d/1ItG2mGa2ceCfYo0BwxsXqNm01IGEUdYcSSLTEv9YCik/edit?usp=sharing"",""เบิกจ่ายกองทุน!T87"")"),64080)</f>
        <v>64080</v>
      </c>
      <c r="T122" s="47">
        <f t="shared" ca="1" si="37"/>
        <v>36.899689047564209</v>
      </c>
      <c r="U122" s="47">
        <f t="shared" ca="1" si="38"/>
        <v>36.899689047564209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IFERROR(__xludf.DUMMYFUNCTION("IMPORTRANGE(""https://docs.google.com/spreadsheets/d/1ItG2mGa2ceCfYo0BwxsXqNm01IGEUdYcSSLTEv9YCik/edit?usp=sharing"",""เบิกจ่ายกองทุน!BD87"")"),0)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13340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13340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13340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IFERROR(__xludf.DUMMYFUNCTION("IMPORTRANGE(""https://docs.google.com/spreadsheets/d/1-uDff_7J0KD5mKrp0Vvzr7lt3OU09vwQwhkpOPPYv2Y/edit?usp=sharing"",""งบพรบ!CF87"")"),13340)</f>
        <v>13340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IFERROR(__xludf.DUMMYFUNCTION("IMPORTRANGE(""https://docs.google.com/spreadsheets/d/1ItG2mGa2ceCfYo0BwxsXqNm01IGEUdYcSSLTEv9YCik/edit?usp=sharing"",""เบิกจ่ายกองทุน!AI87"")"),0)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IFERROR(__xludf.DUMMYFUNCTION("IMPORTRANGE(""https://docs.google.com/spreadsheets/d/1eHaY18a8A9IcSdp1K8H6x8fbOy06t2VsZHhMHf-1x7Y/edit?usp=sharing"",""แผน!Z87"")"),0)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IFERROR(__xludf.DUMMYFUNCTION("IMPORTRANGE(""https://docs.google.com/spreadsheets/d/1eHaY18a8A9IcSdp1K8H6x8fbOy06t2VsZHhMHf-1x7Y/edit?usp=sharing"",""แผน!Z87"")"),0)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t="shared" ref="O173:O181" ca="1" si="53">IF(L173&gt;0,N173*100/L173,0)</f>
        <v>205.71720265441553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40300</v>
      </c>
      <c r="N175" s="47">
        <f t="shared" ca="1" si="57"/>
        <v>40300</v>
      </c>
      <c r="O175" s="47">
        <f t="shared" ca="1" si="53"/>
        <v>205.71720265441553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t="shared" ca="1" si="53"/>
        <v>205.71720265441553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t="shared" ca="1" si="53"/>
        <v>205.71720265441553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IFERROR(__xludf.DUMMYFUNCTION("IMPORTRANGE(""https://docs.google.com/spreadsheets/d/1ItG2mGa2ceCfYo0BwxsXqNm01IGEUdYcSSLTEv9YCik/edit?usp=sharing"",""เบิกจ่ายกองทุน!BG87"")"),0)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269400</v>
      </c>
      <c r="M186" s="132">
        <f ca="1">M187+M188</f>
        <v>271100</v>
      </c>
      <c r="N186" s="132">
        <f ca="1">N187+N188</f>
        <v>194567.61</v>
      </c>
      <c r="O186" s="132">
        <f t="shared" ref="O186:O194" ca="1" si="59">IF(L186&gt;0,N186*100/L186,0)</f>
        <v>72.222572383073498</v>
      </c>
      <c r="P186" s="132">
        <f t="shared" ref="P186:P194" ca="1" si="60">IF(M186&gt;0,N186*100/M186,0)</f>
        <v>71.769682773884171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269400</v>
      </c>
      <c r="M188" s="47">
        <f t="shared" ca="1" si="63"/>
        <v>271100</v>
      </c>
      <c r="N188" s="47">
        <f t="shared" ca="1" si="63"/>
        <v>194567.61</v>
      </c>
      <c r="O188" s="47">
        <f t="shared" ca="1" si="59"/>
        <v>72.222572383073498</v>
      </c>
      <c r="P188" s="47">
        <f t="shared" ca="1" si="60"/>
        <v>71.769682773884171</v>
      </c>
      <c r="Q188" s="47">
        <f t="shared" ca="1" si="64"/>
        <v>28000</v>
      </c>
      <c r="R188" s="47">
        <f t="shared" ca="1" si="64"/>
        <v>28000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269400</v>
      </c>
      <c r="M189" s="47">
        <f ca="1">M190+M191</f>
        <v>271100</v>
      </c>
      <c r="N189" s="47">
        <f ca="1">N190+N191</f>
        <v>194567.61</v>
      </c>
      <c r="O189" s="47">
        <f t="shared" ca="1" si="59"/>
        <v>72.222572383073498</v>
      </c>
      <c r="P189" s="47">
        <f t="shared" ca="1" si="60"/>
        <v>71.769682773884171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IFERROR(__xludf.DUMMYFUNCTION("IMPORTRANGE(""https://docs.google.com/spreadsheets/d/1-uDff_7J0KD5mKrp0Vvzr7lt3OU09vwQwhkpOPPYv2Y/edit?usp=sharing"",""งบพรบ!CU87"")"),269400)</f>
        <v>269400</v>
      </c>
      <c r="M191" s="47">
        <f ca="1">IFERROR(__xludf.DUMMYFUNCTION("IMPORTRANGE(""https://docs.google.com/spreadsheets/d/1-uDff_7J0KD5mKrp0Vvzr7lt3OU09vwQwhkpOPPYv2Y/edit?usp=sharing"",""งบพรบ!CZ87"")"),271100)</f>
        <v>271100</v>
      </c>
      <c r="N191" s="47">
        <f ca="1">IFERROR(__xludf.DUMMYFUNCTION("IMPORTRANGE(""https://docs.google.com/spreadsheets/d/1-uDff_7J0KD5mKrp0Vvzr7lt3OU09vwQwhkpOPPYv2Y/edit?usp=sharing"",""งบพรบ!DB87"")"),194567.61)</f>
        <v>194567.61</v>
      </c>
      <c r="O191" s="47">
        <f t="shared" ca="1" si="59"/>
        <v>72.222572383073498</v>
      </c>
      <c r="P191" s="47">
        <f t="shared" ca="1" si="60"/>
        <v>71.769682773884171</v>
      </c>
      <c r="Q191" s="47">
        <f ca="1">IFERROR(__xludf.DUMMYFUNCTION("IMPORTRANGE(""https://docs.google.com/spreadsheets/d/1ItG2mGa2ceCfYo0BwxsXqNm01IGEUdYcSSLTEv9YCik/edit?usp=sharing"",""เบิกจ่ายกองทุน!AV87"")"),28000)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IFERROR(__xludf.DUMMYFUNCTION("IMPORTRANGE(""https://docs.google.com/spreadsheets/d/1ItG2mGa2ceCfYo0BwxsXqNm01IGEUdYcSSLTEv9YCik/edit?usp=sharing"",""เบิกจ่ายกองทุน!AW87"")"),28000)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IFERROR(__xludf.DUMMYFUNCTION("IMPORTRANGE(""https://docs.google.com/spreadsheets/d/1ItG2mGa2ceCfYo0BwxsXqNm01IGEUdYcSSLTEv9YCik/edit?usp=sharing"",""เบิกจ่ายกองทุน!AX87"")"),0)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28000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IFERROR(__xludf.DUMMYFUNCTION("IMPORTRANGE(""https://docs.google.com/spreadsheets/d/1eHaY18a8A9IcSdp1K8H6x8fbOy06t2VsZHhMHf-1x7Y/edit?usp=sharing"",""แผน!AG87"")"),1000)</f>
        <v>1000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IFERROR(__xludf.DUMMYFUNCTION("IMPORTRANGE(""https://docs.google.com/spreadsheets/d/1eHaY18a8A9IcSdp1K8H6x8fbOy06t2VsZHhMHf-1x7Y/edit?usp=sharing"",""แผน!AH87"")"),0)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IFERROR(__xludf.DUMMYFUNCTION("IMPORTRANGE(""https://docs.google.com/spreadsheets/d/1eHaY18a8A9IcSdp1K8H6x8fbOy06t2VsZHhMHf-1x7Y/edit?usp=sharing"",""แผน!AI87"")"),0)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646">
        <v>0</v>
      </c>
      <c r="T206" s="136"/>
      <c r="U206" s="46"/>
    </row>
    <row r="207" spans="1:21" ht="18.75" x14ac:dyDescent="0.25">
      <c r="A207" s="758"/>
      <c r="B207" s="620"/>
      <c r="C207" s="618"/>
      <c r="D207" s="48" t="s">
        <v>89</v>
      </c>
      <c r="E207" s="618"/>
      <c r="F207" s="618"/>
      <c r="G207" s="617"/>
      <c r="H207" s="757" t="s">
        <v>14</v>
      </c>
      <c r="I207" s="756"/>
      <c r="J207" s="756"/>
      <c r="K207" s="177"/>
      <c r="L207" s="467">
        <f ca="1">IFERROR(__xludf.DUMMYFUNCTION("IMPORTRANGE(""https://docs.google.com/spreadsheets/d/1eHaY18a8A9IcSdp1K8H6x8fbOy06t2VsZHhMHf-1x7Y/edit?usp=sharing"",""แผน!AJ87"")"),4000)</f>
        <v>4000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IFERROR(__xludf.DUMMYFUNCTION("IMPORTRANGE(""https://docs.google.com/spreadsheets/d/1eHaY18a8A9IcSdp1K8H6x8fbOy06t2VsZHhMHf-1x7Y/edit?usp=sharing"",""แผน!AM87"")"),0)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IFERROR(__xludf.DUMMYFUNCTION("IMPORTRANGE(""https://docs.google.com/spreadsheets/d/1eHaY18a8A9IcSdp1K8H6x8fbOy06t2VsZHhMHf-1x7Y/edit?usp=sharing"",""แผน!AN87"")"),0)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IFERROR(__xludf.DUMMYFUNCTION("IMPORTRANGE(""https://docs.google.com/spreadsheets/d/1eHaY18a8A9IcSdp1K8H6x8fbOy06t2VsZHhMHf-1x7Y/edit?usp=sharing"",""แผน!AO87"")"),0)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IFERROR(__xludf.DUMMYFUNCTION("IMPORTRANGE(""https://docs.google.com/spreadsheets/d/1eHaY18a8A9IcSdp1K8H6x8fbOy06t2VsZHhMHf-1x7Y/edit?usp=sharing"",""แผน!LY87"")"),0)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IFERROR(__xludf.DUMMYFUNCTION("IMPORTRANGE(""https://docs.google.com/spreadsheets/d/1eHaY18a8A9IcSdp1K8H6x8fbOy06t2VsZHhMHf-1x7Y/edit?usp=sharing"",""แผน!AR87"")"),2500)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IFERROR(__xludf.DUMMYFUNCTION("IMPORTRANGE(""https://docs.google.com/spreadsheets/d/1eHaY18a8A9IcSdp1K8H6x8fbOy06t2VsZHhMHf-1x7Y/edit?usp=sharing"",""แผน!AS87"")"),2000)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IFERROR(__xludf.DUMMYFUNCTION("IMPORTRANGE(""https://docs.google.com/spreadsheets/d/1eHaY18a8A9IcSdp1K8H6x8fbOy06t2VsZHhMHf-1x7Y/edit?usp=sharing"",""แผน!AT87"")"),0)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47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492" t="s">
        <v>38</v>
      </c>
      <c r="E237" s="141"/>
      <c r="F237" s="141"/>
      <c r="G237" s="142"/>
      <c r="H237" s="143"/>
      <c r="I237" s="135"/>
      <c r="J237" s="45"/>
      <c r="K237" s="46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IFERROR(__xludf.DUMMYFUNCTION("IMPORTRANGE(""https://docs.google.com/spreadsheets/d/1eHaY18a8A9IcSdp1K8H6x8fbOy06t2VsZHhMHf-1x7Y/edit?usp=sharing"",""แผน!AX87"")"),0)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IFERROR(__xludf.DUMMYFUNCTION("IMPORTRANGE(""https://docs.google.com/spreadsheets/d/1eHaY18a8A9IcSdp1K8H6x8fbOy06t2VsZHhMHf-1x7Y/edit?usp=sharing"",""แผน!AY87"")"),0)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IFERROR(__xludf.DUMMYFUNCTION("IMPORTRANGE(""https://docs.google.com/spreadsheets/d/1eHaY18a8A9IcSdp1K8H6x8fbOy06t2VsZHhMHf-1x7Y/edit?usp=sharing"",""แผน!AZ87"")"),0)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IFERROR(__xludf.DUMMYFUNCTION("IMPORTRANGE(""https://docs.google.com/spreadsheets/d/1eHaY18a8A9IcSdp1K8H6x8fbOy06t2VsZHhMHf-1x7Y/edit?usp=sharing"",""แผน!BA87"")"),0)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IFERROR(__xludf.DUMMYFUNCTION("IMPORTRANGE(""https://docs.google.com/spreadsheets/d/1eHaY18a8A9IcSdp1K8H6x8fbOy06t2VsZHhMHf-1x7Y/edit?usp=sharing"",""แผน!BG87"")"),0)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IFERROR(__xludf.DUMMYFUNCTION("IMPORTRANGE(""https://docs.google.com/spreadsheets/d/1eHaY18a8A9IcSdp1K8H6x8fbOy06t2VsZHhMHf-1x7Y/edit?usp=sharing"",""แผน!BB87"")"),0)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IFERROR(__xludf.DUMMYFUNCTION("IMPORTRANGE(""https://docs.google.com/spreadsheets/d/1eHaY18a8A9IcSdp1K8H6x8fbOy06t2VsZHhMHf-1x7Y/edit?usp=sharing"",""แผน!BC87"")"),0)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IFERROR(__xludf.DUMMYFUNCTION("IMPORTRANGE(""https://docs.google.com/spreadsheets/d/1eHaY18a8A9IcSdp1K8H6x8fbOy06t2VsZHhMHf-1x7Y/edit?usp=sharing"",""แผน!BD87"")"),0)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IFERROR(__xludf.DUMMYFUNCTION("IMPORTRANGE(""https://docs.google.com/spreadsheets/d/1eHaY18a8A9IcSdp1K8H6x8fbOy06t2VsZHhMHf-1x7Y/edit?usp=sharing"",""แผน!BE87"")"),0)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IFERROR(__xludf.DUMMYFUNCTION("IMPORTRANGE(""https://docs.google.com/spreadsheets/d/1eHaY18a8A9IcSdp1K8H6x8fbOy06t2VsZHhMHf-1x7Y/edit?usp=sharing"",""แผน!BH87"")"),0)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22</v>
      </c>
      <c r="K265" s="628">
        <f ca="1">IF(I265&gt;0,J265*100/I265,0)</f>
        <v>100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5000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100</v>
      </c>
      <c r="Q266" s="624">
        <f ca="1">Q267+Q268</f>
        <v>50660</v>
      </c>
      <c r="R266" s="624">
        <f ca="1">R267+R268</f>
        <v>50660</v>
      </c>
      <c r="S266" s="624">
        <f ca="1">S267+S268</f>
        <v>45260</v>
      </c>
      <c r="T266" s="624">
        <f t="shared" ref="T266:T274" ca="1" si="67">IF(Q266&gt;0,S266*100/Q266,0)</f>
        <v>89.340702724042643</v>
      </c>
      <c r="U266" s="624">
        <f t="shared" ref="U266:U274" ca="1" si="68">IF(R266&gt;0,S266*100/R266,0)</f>
        <v>89.340702724042643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5000</v>
      </c>
      <c r="O268" s="482">
        <f t="shared" ca="1" si="65"/>
        <v>0</v>
      </c>
      <c r="P268" s="482">
        <f t="shared" ca="1" si="66"/>
        <v>100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45260</v>
      </c>
      <c r="T268" s="482">
        <f t="shared" ca="1" si="67"/>
        <v>89.340702724042643</v>
      </c>
      <c r="U268" s="482">
        <f t="shared" ca="1" si="68"/>
        <v>89.340702724042643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5000</v>
      </c>
      <c r="O269" s="482">
        <f t="shared" ca="1" si="65"/>
        <v>0</v>
      </c>
      <c r="P269" s="482">
        <f t="shared" ca="1" si="66"/>
        <v>100</v>
      </c>
      <c r="Q269" s="482">
        <f ca="1">Q270+Q271</f>
        <v>50660</v>
      </c>
      <c r="R269" s="482">
        <f ca="1">R270+R271</f>
        <v>50660</v>
      </c>
      <c r="S269" s="482">
        <f ca="1">S270+S271</f>
        <v>45260</v>
      </c>
      <c r="T269" s="482">
        <f t="shared" ca="1" si="67"/>
        <v>89.340702724042643</v>
      </c>
      <c r="U269" s="482">
        <f t="shared" ca="1" si="68"/>
        <v>89.340702724042643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IFERROR(__xludf.DUMMYFUNCTION("IMPORTRANGE(""https://docs.google.com/spreadsheets/d/1-uDff_7J0KD5mKrp0Vvzr7lt3OU09vwQwhkpOPPYv2Y/edit?usp=sharing"",""งบพรบ!DE87"")"),0)</f>
        <v>0</v>
      </c>
      <c r="M271" s="482">
        <f ca="1">IFERROR(__xludf.DUMMYFUNCTION("IMPORTRANGE(""https://docs.google.com/spreadsheets/d/1-uDff_7J0KD5mKrp0Vvzr7lt3OU09vwQwhkpOPPYv2Y/edit?usp=sharing"",""งบพรบ!DJ87"")"),5000)</f>
        <v>5000</v>
      </c>
      <c r="N271" s="482">
        <f ca="1">IFERROR(__xludf.DUMMYFUNCTION("IMPORTRANGE(""https://docs.google.com/spreadsheets/d/1-uDff_7J0KD5mKrp0Vvzr7lt3OU09vwQwhkpOPPYv2Y/edit?usp=sharing"",""งบพรบ!DL87"")"),5000)</f>
        <v>5000</v>
      </c>
      <c r="O271" s="482">
        <f t="shared" ca="1" si="65"/>
        <v>0</v>
      </c>
      <c r="P271" s="482">
        <f t="shared" ca="1" si="66"/>
        <v>100</v>
      </c>
      <c r="Q271" s="482">
        <f ca="1">IFERROR(__xludf.DUMMYFUNCTION("IMPORTRANGE(""https://docs.google.com/spreadsheets/d/1ItG2mGa2ceCfYo0BwxsXqNm01IGEUdYcSSLTEv9YCik/edit?usp=sharing"",""เบิกจ่ายกองทุน!AJ87"")"),50660)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IFERROR(__xludf.DUMMYFUNCTION("IMPORTRANGE(""https://docs.google.com/spreadsheets/d/1ItG2mGa2ceCfYo0BwxsXqNm01IGEUdYcSSLTEv9YCik/edit?usp=sharing"",""เบิกจ่ายกองทุน!AK87"")"),50660)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IFERROR(__xludf.DUMMYFUNCTION("IMPORTRANGE(""https://docs.google.com/spreadsheets/d/1ItG2mGa2ceCfYo0BwxsXqNm01IGEUdYcSSLTEv9YCik/edit?usp=sharing"",""เบิกจ่ายกองทุน!AL87"")"),45260)</f>
        <v>45260</v>
      </c>
      <c r="T271" s="482">
        <f t="shared" ca="1" si="67"/>
        <v>89.340702724042643</v>
      </c>
      <c r="U271" s="482">
        <f t="shared" ca="1" si="68"/>
        <v>89.340702724042643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IFERROR(__xludf.DUMMYFUNCTION("IMPORTRANGE(""https://docs.google.com/spreadsheets/d/1-uDff_7J0KD5mKrp0Vvzr7lt3OU09vwQwhkpOPPYv2Y/edit?usp=sharing"",""งบพรบ!DH87"")"),0)</f>
        <v>0</v>
      </c>
      <c r="M274" s="482">
        <f ca="1">IFERROR(__xludf.DUMMYFUNCTION("IMPORTRANGE(""https://docs.google.com/spreadsheets/d/1-uDff_7J0KD5mKrp0Vvzr7lt3OU09vwQwhkpOPPYv2Y/edit?usp=sharing"",""งบพรบ!DK87"")"),0)</f>
        <v>0</v>
      </c>
      <c r="N274" s="482">
        <f ca="1">IFERROR(__xludf.DUMMYFUNCTION("IMPORTRANGE(""https://docs.google.com/spreadsheets/d/1-uDff_7J0KD5mKrp0Vvzr7lt3OU09vwQwhkpOPPYv2Y/edit?usp=sharing"",""งบพรบ!DM87"")"),0)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IFERROR(__xludf.DUMMYFUNCTION("IMPORTRANGE(""https://docs.google.com/spreadsheets/d/1eHaY18a8A9IcSdp1K8H6x8fbOy06t2VsZHhMHf-1x7Y/edit?usp=sharing"",""แผน!EE87"")"),0)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IFERROR(__xludf.DUMMYFUNCTION("IMPORTRANGE(""https://docs.google.com/spreadsheets/d/1eHaY18a8A9IcSdp1K8H6x8fbOy06t2VsZHhMHf-1x7Y/edit?usp=sharing"",""แผน!ED87"")"),0)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IFERROR(__xludf.DUMMYFUNCTION("IMPORTRANGE(""https://docs.google.com/spreadsheets/d/1eHaY18a8A9IcSdp1K8H6x8fbOy06t2VsZHhMHf-1x7Y/edit?usp=sharing"",""แผน!ED87"")"),0)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IFERROR(__xludf.DUMMYFUNCTION("IMPORTRANGE(""https://docs.google.com/spreadsheets/d/1eHaY18a8A9IcSdp1K8H6x8fbOy06t2VsZHhMHf-1x7Y/edit?usp=sharing"",""แผน!ED87"")"),0)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226234.22</v>
      </c>
      <c r="R305" s="47">
        <f t="shared" ca="1" si="82"/>
        <v>226234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IFERROR(__xludf.DUMMYFUNCTION("IMPORTRANGE(""https://docs.google.com/spreadsheets/d/1ItG2mGa2ceCfYo0BwxsXqNm01IGEUdYcSSLTEv9YCik/edit?usp=sharing"",""เบิกจ่ายกองทุน!AQ87"")"),226234)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IFERROR(__xludf.DUMMYFUNCTION("IMPORTRANGE(""https://docs.google.com/spreadsheets/d/1ItG2mGa2ceCfYo0BwxsXqNm01IGEUdYcSSLTEv9YCik/edit?usp=sharing"",""เบิกจ่ายกองทุน!AR87"")"),0)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140</v>
      </c>
      <c r="J332" s="596">
        <f ca="1">J344+J347+J348+J349+J353</f>
        <v>532</v>
      </c>
      <c r="K332" s="595">
        <f ca="1">IF(I332&gt;0,J332*100/I332,0)</f>
        <v>380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216600</v>
      </c>
      <c r="M333" s="132">
        <f ca="1">M334+M335</f>
        <v>221600</v>
      </c>
      <c r="N333" s="132">
        <f ca="1">N334+N335</f>
        <v>148442</v>
      </c>
      <c r="O333" s="132">
        <f t="shared" ref="O333:O341" ca="1" si="89">IF(L333&gt;0,N333*100/L333,0)</f>
        <v>68.532779316712833</v>
      </c>
      <c r="P333" s="132">
        <f t="shared" ref="P333:P341" ca="1" si="90">IF(M333&gt;0,N333*100/M333,0)</f>
        <v>66.986462093862812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216600</v>
      </c>
      <c r="M335" s="47">
        <f t="shared" ca="1" si="93"/>
        <v>221600</v>
      </c>
      <c r="N335" s="47">
        <f t="shared" ca="1" si="93"/>
        <v>148442</v>
      </c>
      <c r="O335" s="47">
        <f t="shared" ca="1" si="89"/>
        <v>68.532779316712833</v>
      </c>
      <c r="P335" s="47">
        <f t="shared" ca="1" si="90"/>
        <v>66.986462093862812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216600</v>
      </c>
      <c r="M336" s="47">
        <f ca="1">M337+M338</f>
        <v>221600</v>
      </c>
      <c r="N336" s="47">
        <f ca="1">N337+N338</f>
        <v>148442</v>
      </c>
      <c r="O336" s="47">
        <f t="shared" ca="1" si="89"/>
        <v>68.532779316712833</v>
      </c>
      <c r="P336" s="47">
        <f t="shared" ca="1" si="90"/>
        <v>66.986462093862812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IFERROR(__xludf.DUMMYFUNCTION("IMPORTRANGE(""https://docs.google.com/spreadsheets/d/1-uDff_7J0KD5mKrp0Vvzr7lt3OU09vwQwhkpOPPYv2Y/edit?usp=sharing"",""งบพรบ!ES87"")"),216600)</f>
        <v>216600</v>
      </c>
      <c r="M338" s="47">
        <f ca="1">IFERROR(__xludf.DUMMYFUNCTION("IMPORTRANGE(""https://docs.google.com/spreadsheets/d/1-uDff_7J0KD5mKrp0Vvzr7lt3OU09vwQwhkpOPPYv2Y/edit?usp=sharing"",""งบพรบ!EX87"")"),221600)</f>
        <v>221600</v>
      </c>
      <c r="N338" s="47">
        <f ca="1">IFERROR(__xludf.DUMMYFUNCTION("IMPORTRANGE(""https://docs.google.com/spreadsheets/d/1-uDff_7J0KD5mKrp0Vvzr7lt3OU09vwQwhkpOPPYv2Y/edit?usp=sharing"",""งบพรบ!EZ87"")"),148442)</f>
        <v>148442</v>
      </c>
      <c r="O338" s="47">
        <f t="shared" ca="1" si="89"/>
        <v>68.532779316712833</v>
      </c>
      <c r="P338" s="47">
        <f t="shared" ca="1" si="90"/>
        <v>66.986462093862812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181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IFERROR(__xludf.DUMMYFUNCTION("IMPORTRANGE(""https://docs.google.com/spreadsheets/d/1awYsYK3VOup2i3Pq_Yjnu8DRu_mYwSBnCR2QPthd0rU/edit?usp=sharing"",""ศูนย์ยกเว้นโฉนด!D87"")"),74)</f>
        <v>74</v>
      </c>
      <c r="K344" s="47">
        <f ca="1">IF(I344&gt;0,J344*100/I344,0)</f>
        <v>52.857142857142854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399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IFERROR(__xludf.DUMMYFUNCTION("IMPORTRANGE(""https://docs.google.com/spreadsheets/d/1awYsYK3VOup2i3Pq_Yjnu8DRu_mYwSBnCR2QPthd0rU/edit?usp=sharing"",""โฉนดM3!G87"")"),48)</f>
        <v>48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IFERROR(__xludf.DUMMYFUNCTION("IMPORTRANGE(""https://docs.google.com/spreadsheets/d/1awYsYK3VOup2i3Pq_Yjnu8DRu_mYwSBnCR2QPthd0rU/edit?usp=sharing"",""โฉนดM3!H87"")"),351)</f>
        <v>351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142885</v>
      </c>
      <c r="M356" s="132">
        <f ca="1">M357+M358</f>
        <v>142885</v>
      </c>
      <c r="N356" s="132">
        <f ca="1">N357+N358</f>
        <v>78996.740000000005</v>
      </c>
      <c r="O356" s="132">
        <f t="shared" ref="O356:O364" ca="1" si="95">IF(L356&gt;0,N356*100/L356,0)</f>
        <v>55.286937047275785</v>
      </c>
      <c r="P356" s="132">
        <f t="shared" ref="P356:P364" ca="1" si="96">IF(M356&gt;0,N356*100/M356,0)</f>
        <v>55.286937047275785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142885</v>
      </c>
      <c r="M358" s="47">
        <f t="shared" ca="1" si="99"/>
        <v>142885</v>
      </c>
      <c r="N358" s="47">
        <f t="shared" ca="1" si="99"/>
        <v>78996.740000000005</v>
      </c>
      <c r="O358" s="47">
        <f t="shared" ca="1" si="95"/>
        <v>55.286937047275785</v>
      </c>
      <c r="P358" s="47">
        <f t="shared" ca="1" si="96"/>
        <v>55.286937047275785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142885</v>
      </c>
      <c r="M359" s="47">
        <f ca="1">M360+M361</f>
        <v>142885</v>
      </c>
      <c r="N359" s="47">
        <f ca="1">N360+N361</f>
        <v>78996.740000000005</v>
      </c>
      <c r="O359" s="47">
        <f t="shared" ca="1" si="95"/>
        <v>55.286937047275785</v>
      </c>
      <c r="P359" s="47">
        <f t="shared" ca="1" si="96"/>
        <v>55.286937047275785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IFERROR(__xludf.DUMMYFUNCTION("IMPORTRANGE(""https://docs.google.com/spreadsheets/d/1-uDff_7J0KD5mKrp0Vvzr7lt3OU09vwQwhkpOPPYv2Y/edit?usp=sharing"",""งบพรบ!FC87"")"),142885)</f>
        <v>142885</v>
      </c>
      <c r="M361" s="47">
        <f ca="1">IFERROR(__xludf.DUMMYFUNCTION("IMPORTRANGE(""https://docs.google.com/spreadsheets/d/1-uDff_7J0KD5mKrp0Vvzr7lt3OU09vwQwhkpOPPYv2Y/edit?usp=sharing"",""งบพรบ!FH87"")"),142885)</f>
        <v>142885</v>
      </c>
      <c r="N361" s="47">
        <f ca="1">IFERROR(__xludf.DUMMYFUNCTION("IMPORTRANGE(""https://docs.google.com/spreadsheets/d/1-uDff_7J0KD5mKrp0Vvzr7lt3OU09vwQwhkpOPPYv2Y/edit?usp=sharing"",""งบพรบ!FJ87"")"),78996.74)</f>
        <v>78996.740000000005</v>
      </c>
      <c r="O361" s="47">
        <f t="shared" ca="1" si="95"/>
        <v>55.286937047275785</v>
      </c>
      <c r="P361" s="47">
        <f t="shared" ca="1" si="96"/>
        <v>55.286937047275785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38</v>
      </c>
      <c r="J365" s="228">
        <f ca="1">J371</f>
        <v>52</v>
      </c>
      <c r="K365" s="229">
        <f ca="1">IF(I365&gt;0,J365*100/I365,0)</f>
        <v>136.84210526315789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IFERROR(__xludf.DUMMYFUNCTION("IMPORTRANGE(""https://docs.google.com/spreadsheets/d/1eHaY18a8A9IcSdp1K8H6x8fbOy06t2VsZHhMHf-1x7Y/edit?usp=sharing"",""แผน!EW87"")"),190)</f>
        <v>190</v>
      </c>
      <c r="J368" s="584">
        <f ca="1">IFERROR(__xludf.DUMMYFUNCTION("IMPORTRANGE(""https://docs.google.com/spreadsheets/d/1tdoBKaGub7dwA3U6UFTqxio9LNnvDCQjHKmttSEBsFQ/edit?usp=sharing"",""จัดที่ดิน!AC87"")"),198.91)</f>
        <v>198.91</v>
      </c>
      <c r="K368" s="47">
        <f t="shared" ca="1" si="101"/>
        <v>104.68947368421053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IFERROR(__xludf.DUMMYFUNCTION("IMPORTRANGE(""https://docs.google.com/spreadsheets/d/1eHaY18a8A9IcSdp1K8H6x8fbOy06t2VsZHhMHf-1x7Y/edit?usp=sharing"",""แผน!EX87"")"),38)</f>
        <v>38</v>
      </c>
      <c r="J369" s="152">
        <f ca="1">IFERROR(__xludf.DUMMYFUNCTION("IMPORTRANGE(""https://docs.google.com/spreadsheets/d/1tdoBKaGub7dwA3U6UFTqxio9LNnvDCQjHKmttSEBsFQ/edit?usp=sharing"",""จัดที่ดิน!AD87"")"),76)</f>
        <v>76</v>
      </c>
      <c r="K369" s="47">
        <f t="shared" ca="1" si="101"/>
        <v>200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IFERROR(__xludf.DUMMYFUNCTION("IMPORTRANGE(""https://docs.google.com/spreadsheets/d/1tdoBKaGub7dwA3U6UFTqxio9LNnvDCQjHKmttSEBsFQ/edit?usp=sharing"",""จัดที่ดิน!AE87"")"),578.9)</f>
        <v>578.9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IFERROR(__xludf.DUMMYFUNCTION("IMPORTRANGE(""https://docs.google.com/spreadsheets/d/1eHaY18a8A9IcSdp1K8H6x8fbOy06t2VsZHhMHf-1x7Y/edit?usp=sharing"",""แผน!EY87"")"),38)</f>
        <v>38</v>
      </c>
      <c r="J371" s="152">
        <f ca="1">IFERROR(__xludf.DUMMYFUNCTION("IMPORTRANGE(""https://docs.google.com/spreadsheets/d/1tdoBKaGub7dwA3U6UFTqxio9LNnvDCQjHKmttSEBsFQ/edit?usp=sharing"",""จัดที่ดิน!AF87"")"),52)</f>
        <v>52</v>
      </c>
      <c r="K371" s="47">
        <f t="shared" ca="1" si="101"/>
        <v>136.84210526315789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IFERROR(__xludf.DUMMYFUNCTION("IMPORTRANGE(""https://docs.google.com/spreadsheets/d/1tdoBKaGub7dwA3U6UFTqxio9LNnvDCQjHKmttSEBsFQ/edit?usp=sharing"",""จัดที่ดิน!AG87"")"),379.99)</f>
        <v>379.99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150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9375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IFERROR(__xludf.DUMMYFUNCTION("IMPORTRANGE(""https://docs.google.com/spreadsheets/d/1ItG2mGa2ceCfYo0BwxsXqNm01IGEUdYcSSLTEv9YCik/edit?usp=sharing"",""เบิกจ่ายกองทุน!AZ87"")"),0)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IFERROR(__xludf.DUMMYFUNCTION("IMPORTRANGE(""https://docs.google.com/spreadsheets/d/1ItG2mGa2ceCfYo0BwxsXqNm01IGEUdYcSSLTEv9YCik/edit?usp=sharing"",""เบิกจ่ายกองทุน!BA87"")"),0)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IFERROR(__xludf.DUMMYFUNCTION("IMPORTRANGE(""https://docs.google.com/spreadsheets/d/1w5rwWK1o49a35cNtocGL0gxDwhFSTZUQu90BiH9_zqM/edit?usp=sharing"",""RTK!L87"")"),0)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IFERROR(__xludf.DUMMYFUNCTION("IMPORTRANGE(""https://docs.google.com/spreadsheets/d/1w5rwWK1o49a35cNtocGL0gxDwhFSTZUQu90BiH9_zqM/edit?usp=sharing"",""RTK!K87"")"),0)</f>
        <v>0</v>
      </c>
      <c r="J388" s="483">
        <f ca="1">IFERROR(__xludf.DUMMYFUNCTION("IMPORTRANGE(""https://docs.google.com/spreadsheets/d/1w5rwWK1o49a35cNtocGL0gxDwhFSTZUQu90BiH9_zqM/edit?usp=sharing"",""RTK!M87"")"),0)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IFERROR(__xludf.DUMMYFUNCTION("IMPORTRANGE(""https://docs.google.com/spreadsheets/d/1ItG2mGa2ceCfYo0BwxsXqNm01IGEUdYcSSLTEv9YCik/edit?usp=sharing"",""เบิกจ่ายกองทุน!BH87"")"),0)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IFERROR(__xludf.DUMMYFUNCTION("IMPORTRANGE(""https://docs.google.com/spreadsheets/d/1ItG2mGa2ceCfYo0BwxsXqNm01IGEUdYcSSLTEv9YCik/edit?usp=sharing"",""เบิกจ่ายกองทุน!BI87"")"),0)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IFERROR(__xludf.DUMMYFUNCTION("IMPORTRANGE(""https://docs.google.com/spreadsheets/d/1ItG2mGa2ceCfYo0BwxsXqNm01IGEUdYcSSLTEv9YCik/edit?usp=sharing"",""เบิกจ่ายกองทุน!BJ87"")"),0)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IFERROR(__xludf.DUMMYFUNCTION("IMPORTRANGE(""https://docs.google.com/spreadsheets/d/1eHaY18a8A9IcSdp1K8H6x8fbOy06t2VsZHhMHf-1x7Y/edit?usp=sharing"",""แผน!HN87"")"),0)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IFERROR(__xludf.DUMMYFUNCTION("IMPORTRANGE(""https://docs.google.com/spreadsheets/d/1eHaY18a8A9IcSdp1K8H6x8fbOy06t2VsZHhMHf-1x7Y/edit?usp=sharing"",""แผน!HO87"")"),0)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IFERROR(__xludf.DUMMYFUNCTION("IMPORTRANGE(""https://docs.google.com/spreadsheets/d/1ItG2mGa2ceCfYo0BwxsXqNm01IGEUdYcSSLTEv9YCik/edit?usp=sharing"",""เบิกจ่ายกองทุน!Z87"")"),0)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5850</v>
      </c>
      <c r="T616" s="132">
        <f t="shared" ref="T616:T624" ca="1" si="159">IF(Q616&gt;0,S616*100/Q616,0)</f>
        <v>80.412371134020617</v>
      </c>
      <c r="U616" s="132">
        <f t="shared" ref="U616:U624" ca="1" si="160">IF(R616&gt;0,S616*100/R616,0)</f>
        <v>80.412371134020617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7275</v>
      </c>
      <c r="R618" s="47">
        <f t="shared" ca="1" si="162"/>
        <v>7275</v>
      </c>
      <c r="S618" s="47">
        <f t="shared" ca="1" si="162"/>
        <v>5850</v>
      </c>
      <c r="T618" s="47">
        <f t="shared" ca="1" si="159"/>
        <v>80.412371134020617</v>
      </c>
      <c r="U618" s="47">
        <f t="shared" ca="1" si="160"/>
        <v>80.412371134020617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7275</v>
      </c>
      <c r="R619" s="47">
        <f ca="1">R620+R621</f>
        <v>7275</v>
      </c>
      <c r="S619" s="47">
        <f ca="1">S620+S621</f>
        <v>5850</v>
      </c>
      <c r="T619" s="47">
        <f t="shared" ca="1" si="159"/>
        <v>80.412371134020617</v>
      </c>
      <c r="U619" s="47">
        <f t="shared" ca="1" si="160"/>
        <v>80.412371134020617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IFERROR(__xludf.DUMMYFUNCTION("IMPORTRANGE(""https://docs.google.com/spreadsheets/d/1ItG2mGa2ceCfYo0BwxsXqNm01IGEUdYcSSLTEv9YCik/edit?usp=sharing"",""เบิกจ่ายกองทุน!H87"")"),5850)</f>
        <v>5850</v>
      </c>
      <c r="T621" s="47">
        <f t="shared" ca="1" si="159"/>
        <v>80.412371134020617</v>
      </c>
      <c r="U621" s="47">
        <f t="shared" ca="1" si="160"/>
        <v>80.412371134020617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17267.95</v>
      </c>
      <c r="T690" s="132">
        <f t="shared" ref="T690:T698" ca="1" si="171">IF(Q690&gt;0,S690*100/Q690,0)</f>
        <v>27.593400447427292</v>
      </c>
      <c r="U690" s="132">
        <f t="shared" ref="U690:U698" ca="1" si="172">IF(R690&gt;0,S690*100/R690,0)</f>
        <v>27.593400447427292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62580</v>
      </c>
      <c r="R692" s="47">
        <f t="shared" ca="1" si="174"/>
        <v>62580</v>
      </c>
      <c r="S692" s="47">
        <f t="shared" ca="1" si="174"/>
        <v>17267.95</v>
      </c>
      <c r="T692" s="47">
        <f t="shared" ca="1" si="171"/>
        <v>27.593400447427292</v>
      </c>
      <c r="U692" s="47">
        <f t="shared" ca="1" si="172"/>
        <v>27.593400447427292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62580</v>
      </c>
      <c r="R693" s="47">
        <f ca="1">R694+R695</f>
        <v>62580</v>
      </c>
      <c r="S693" s="47">
        <f ca="1">S694+S695</f>
        <v>17267.95</v>
      </c>
      <c r="T693" s="47">
        <f t="shared" ca="1" si="171"/>
        <v>27.593400447427292</v>
      </c>
      <c r="U693" s="47">
        <f t="shared" ca="1" si="172"/>
        <v>27.593400447427292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IFERROR(__xludf.DUMMYFUNCTION("IMPORTRANGE(""https://docs.google.com/spreadsheets/d/1ItG2mGa2ceCfYo0BwxsXqNm01IGEUdYcSSLTEv9YCik/edit?usp=sharing"",""เบิกจ่ายกองทุน!N87"")"),17267.95)</f>
        <v>17267.95</v>
      </c>
      <c r="T695" s="47">
        <f t="shared" ca="1" si="171"/>
        <v>27.593400447427292</v>
      </c>
      <c r="U695" s="47">
        <f t="shared" ca="1" si="172"/>
        <v>27.593400447427292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t="shared" ca="1" si="175"/>
        <v>40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IFERROR(__xludf.DUMMYFUNCTION("IMPORTRANGE(""https://docs.google.com/spreadsheets/d/1eHaY18a8A9IcSdp1K8H6x8fbOy06t2VsZHhMHf-1x7Y/edit?usp=sharing"",""แผน!GA87"")"),6)</f>
        <v>6</v>
      </c>
      <c r="J726" s="433">
        <f>J742+J746+J749</f>
        <v>16</v>
      </c>
      <c r="K726" s="434">
        <f ca="1">IF(I726&gt;0,J726*100/I726,0)</f>
        <v>266.66666666666669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IFERROR(__xludf.DUMMYFUNCTION("IMPORTRANGE(""https://docs.google.com/spreadsheets/d/1eHaY18a8A9IcSdp1K8H6x8fbOy06t2VsZHhMHf-1x7Y/edit?usp=sharing"",""แผน!FZ87"")"),50)</f>
        <v>50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39336.6</v>
      </c>
      <c r="T728" s="132">
        <f t="shared" ref="T728:T736" ca="1" si="184">IF(Q728&gt;0,S728*100/Q728,0)</f>
        <v>49.41411451398136</v>
      </c>
      <c r="U728" s="132">
        <f t="shared" ref="U728:U736" ca="1" si="185">IF(R728&gt;0,S728*100/R728,0)</f>
        <v>49.41411451398136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79606</v>
      </c>
      <c r="R730" s="47">
        <f t="shared" ca="1" si="187"/>
        <v>79606</v>
      </c>
      <c r="S730" s="47">
        <f t="shared" ca="1" si="187"/>
        <v>39336.6</v>
      </c>
      <c r="T730" s="47">
        <f t="shared" ca="1" si="184"/>
        <v>49.41411451398136</v>
      </c>
      <c r="U730" s="47">
        <f t="shared" ca="1" si="185"/>
        <v>49.41411451398136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79606</v>
      </c>
      <c r="R731" s="47">
        <f ca="1">R732+R733</f>
        <v>79606</v>
      </c>
      <c r="S731" s="47">
        <f ca="1">S732+S733</f>
        <v>39336.6</v>
      </c>
      <c r="T731" s="47">
        <f t="shared" ca="1" si="184"/>
        <v>49.41411451398136</v>
      </c>
      <c r="U731" s="47">
        <f t="shared" ca="1" si="185"/>
        <v>49.41411451398136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IFERROR(__xludf.DUMMYFUNCTION("IMPORTRANGE(""https://docs.google.com/spreadsheets/d/1ItG2mGa2ceCfYo0BwxsXqNm01IGEUdYcSSLTEv9YCik/edit?usp=sharing"",""เบิกจ่ายกองทุน!Q87"")"),39336.6)</f>
        <v>39336.6</v>
      </c>
      <c r="T733" s="47">
        <f t="shared" ca="1" si="184"/>
        <v>49.41411451398136</v>
      </c>
      <c r="U733" s="47">
        <f t="shared" ca="1" si="185"/>
        <v>49.41411451398136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2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46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2" t="s">
        <v>272</v>
      </c>
      <c r="G741" s="143"/>
      <c r="H741" s="133" t="s">
        <v>35</v>
      </c>
      <c r="I741" s="45"/>
      <c r="J741" s="167">
        <v>0</v>
      </c>
      <c r="K741" s="46"/>
      <c r="L741" s="465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2" t="s">
        <v>273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465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2" t="s">
        <v>274</v>
      </c>
      <c r="F743" s="139"/>
      <c r="G743" s="143"/>
      <c r="H743" s="191"/>
      <c r="I743" s="45"/>
      <c r="J743" s="45"/>
      <c r="K743" s="46"/>
      <c r="L743" s="465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2" t="s">
        <v>271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465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2" t="s">
        <v>275</v>
      </c>
      <c r="G745" s="143"/>
      <c r="H745" s="133" t="s">
        <v>35</v>
      </c>
      <c r="I745" s="45"/>
      <c r="J745" s="167">
        <v>0</v>
      </c>
      <c r="K745" s="46"/>
      <c r="L745" s="465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2" t="s">
        <v>276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465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2" t="s">
        <v>277</v>
      </c>
      <c r="F747" s="145"/>
      <c r="G747" s="143"/>
      <c r="H747" s="191"/>
      <c r="I747" s="45"/>
      <c r="J747" s="45"/>
      <c r="K747" s="46"/>
      <c r="L747" s="465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2" t="s">
        <v>278</v>
      </c>
      <c r="G748" s="143"/>
      <c r="H748" s="133" t="s">
        <v>35</v>
      </c>
      <c r="I748" s="45"/>
      <c r="J748" s="167">
        <v>0</v>
      </c>
      <c r="K748" s="46"/>
      <c r="L748" s="465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2" t="s">
        <v>279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465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45" t="s">
        <v>50</v>
      </c>
      <c r="E750" s="139"/>
      <c r="F750" s="145"/>
      <c r="G750" s="143"/>
      <c r="H750" s="191"/>
      <c r="I750" s="45"/>
      <c r="J750" s="45"/>
      <c r="K750" s="46"/>
      <c r="L750" s="465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2" t="s">
        <v>270</v>
      </c>
      <c r="F751" s="145"/>
      <c r="G751" s="143"/>
      <c r="H751" s="191"/>
      <c r="I751" s="45"/>
      <c r="J751" s="45"/>
      <c r="K751" s="46"/>
      <c r="L751" s="465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465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v>0</v>
      </c>
      <c r="K753" s="46"/>
      <c r="L753" s="465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2" t="s">
        <v>274</v>
      </c>
      <c r="F754" s="145"/>
      <c r="G754" s="143"/>
      <c r="H754" s="191"/>
      <c r="I754" s="45"/>
      <c r="J754" s="45"/>
      <c r="K754" s="46"/>
      <c r="L754" s="465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465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v>0</v>
      </c>
      <c r="K756" s="46"/>
      <c r="L756" s="465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IFERROR(__xludf.DUMMYFUNCTION("IMPORTRANGE(""https://docs.google.com/spreadsheets/d/1ItG2mGa2ceCfYo0BwxsXqNm01IGEUdYcSSLTEv9YCik/edit?usp=sharing"",""เบิกจ่ายกองทุน!V87"")"),0)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IFERROR(__xludf.DUMMYFUNCTION("IMPORTRANGE(""https://docs.google.com/spreadsheets/d/1ItG2mGa2ceCfYo0BwxsXqNm01IGEUdYcSSLTEv9YCik/edit?usp=sharing"",""เบิกจ่ายกองทุน!W87"")"),0)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IFERROR(__xludf.DUMMYFUNCTION("IMPORTRANGE(""https://docs.google.com/spreadsheets/d/1eHaY18a8A9IcSdp1K8H6x8fbOy06t2VsZHhMHf-1x7Y/edit?usp=sharing"",""แผน!FI87"")"),0)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IFERROR(__xludf.DUMMYFUNCTION("IMPORTRANGE(""https://docs.google.com/spreadsheets/d/10OvvATaaLtwErnr3qtWFcTmtbfpFEt5Bsqel9sXx0uE/edit?usp=sharing"",""งานกองทุน!F87"")"),381346.57)</f>
        <v>381346.57</v>
      </c>
      <c r="K778" s="47">
        <f t="shared" ref="K778:K785" ca="1" si="194">IF(I778&gt;0,J778*100/I778,0)</f>
        <v>65.630168787993583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IFERROR(__xludf.DUMMYFUNCTION("IMPORTRANGE(""https://docs.google.com/spreadsheets/d/10OvvATaaLtwErnr3qtWFcTmtbfpFEt5Bsqel9sXx0uE/edit?usp=sharing"",""งานกองทุน!E87"")"),35)</f>
        <v>35</v>
      </c>
      <c r="K779" s="47">
        <f t="shared" ca="1" si="194"/>
        <v>61.403508771929822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t="shared" ca="1" si="194"/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t="shared" ca="1" si="194"/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t="shared" ca="1" si="194"/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t="shared" ca="1" si="194"/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2FB2D-BEC9-440F-8561-5D8BFC6F0078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326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2551398</v>
      </c>
      <c r="M18" s="35">
        <f ca="1">M19+M20</f>
        <v>2590282</v>
      </c>
      <c r="N18" s="35">
        <f ca="1">N19+N20</f>
        <v>2074911.33</v>
      </c>
      <c r="O18" s="35">
        <f t="shared" ref="O18:O26" ca="1" si="0">IF(L18&gt;0,N18*100/L18,0)</f>
        <v>81.32448681076022</v>
      </c>
      <c r="P18" s="35">
        <f t="shared" ref="P18:P26" ca="1" si="1">IF(M18&gt;0,N18*100/M18,0)</f>
        <v>80.10368484975767</v>
      </c>
      <c r="Q18" s="35">
        <f ca="1">Q19+Q20</f>
        <v>2732499.24</v>
      </c>
      <c r="R18" s="35">
        <f ca="1">R19+R20</f>
        <v>2732499</v>
      </c>
      <c r="S18" s="35">
        <f ca="1">S19+S20</f>
        <v>512426.8</v>
      </c>
      <c r="T18" s="35">
        <f t="shared" ref="T18:T26" ca="1" si="2">IF(Q18&gt;0,S18*100/Q18,0)</f>
        <v>18.753044557113945</v>
      </c>
      <c r="U18" s="35">
        <f t="shared" ref="U18:U26" ca="1" si="3">IF(R18&gt;0,S18*100/R18,0)</f>
        <v>18.753046204225509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2551398</v>
      </c>
      <c r="M20" s="39">
        <f t="shared" ca="1" si="4"/>
        <v>2590282</v>
      </c>
      <c r="N20" s="39">
        <f t="shared" ca="1" si="4"/>
        <v>2074911.33</v>
      </c>
      <c r="O20" s="39">
        <f t="shared" ca="1" si="0"/>
        <v>81.32448681076022</v>
      </c>
      <c r="P20" s="39">
        <f t="shared" ca="1" si="1"/>
        <v>80.10368484975767</v>
      </c>
      <c r="Q20" s="39">
        <f t="shared" ca="1" si="5"/>
        <v>2732499.24</v>
      </c>
      <c r="R20" s="39">
        <f t="shared" ca="1" si="5"/>
        <v>2732499</v>
      </c>
      <c r="S20" s="39">
        <f t="shared" ca="1" si="5"/>
        <v>512426.8</v>
      </c>
      <c r="T20" s="39">
        <f t="shared" ca="1" si="2"/>
        <v>18.753044557113945</v>
      </c>
      <c r="U20" s="39">
        <f t="shared" ca="1" si="3"/>
        <v>18.753046204225509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2551398</v>
      </c>
      <c r="M21" s="47">
        <f ca="1">M22+M23</f>
        <v>2590282</v>
      </c>
      <c r="N21" s="47">
        <f ca="1">N22+N23</f>
        <v>2074911.33</v>
      </c>
      <c r="O21" s="47">
        <f t="shared" ca="1" si="0"/>
        <v>81.32448681076022</v>
      </c>
      <c r="P21" s="47">
        <f t="shared" ca="1" si="1"/>
        <v>80.10368484975767</v>
      </c>
      <c r="Q21" s="47">
        <f ca="1">Q22+Q23</f>
        <v>2732499.24</v>
      </c>
      <c r="R21" s="47">
        <f ca="1">R22+R23</f>
        <v>2732499</v>
      </c>
      <c r="S21" s="47">
        <f ca="1">S22+S23</f>
        <v>512426.8</v>
      </c>
      <c r="T21" s="47">
        <f t="shared" ca="1" si="2"/>
        <v>18.753044557113945</v>
      </c>
      <c r="U21" s="47">
        <f t="shared" ca="1" si="3"/>
        <v>18.753046204225509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2551398</v>
      </c>
      <c r="M23" s="47">
        <f t="shared" ca="1" si="6"/>
        <v>2590282</v>
      </c>
      <c r="N23" s="47">
        <f t="shared" ca="1" si="6"/>
        <v>2074911.33</v>
      </c>
      <c r="O23" s="47">
        <f t="shared" ca="1" si="0"/>
        <v>81.32448681076022</v>
      </c>
      <c r="P23" s="47">
        <f t="shared" ca="1" si="1"/>
        <v>80.10368484975767</v>
      </c>
      <c r="Q23" s="47">
        <f t="shared" ca="1" si="7"/>
        <v>2732499.24</v>
      </c>
      <c r="R23" s="47">
        <f t="shared" ca="1" si="7"/>
        <v>2732499</v>
      </c>
      <c r="S23" s="47">
        <f t="shared" ca="1" si="7"/>
        <v>512426.8</v>
      </c>
      <c r="T23" s="47">
        <f t="shared" ca="1" si="2"/>
        <v>18.753044557113945</v>
      </c>
      <c r="U23" s="47">
        <f t="shared" ca="1" si="3"/>
        <v>18.753046204225509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2551398</v>
      </c>
      <c r="M40" s="703">
        <f ca="1">M44+M59+M72+M94+M125+M139+M157+M173+M186+M266+M282+M303+M320+M333+M356</f>
        <v>2590282</v>
      </c>
      <c r="N40" s="703">
        <f ca="1">N44+N59+N72+N94+N125+N139+N157+N173+N186+N266+N282+N303+N320+N333+N356</f>
        <v>2074911.33</v>
      </c>
      <c r="O40" s="703">
        <f ca="1">IF(L40&gt;0,N40*100/L40,0)</f>
        <v>81.32448681076022</v>
      </c>
      <c r="P40" s="703">
        <f ca="1">IF(M40&gt;0,N40*100/M40,0)</f>
        <v>80.10368484975767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455288</v>
      </c>
      <c r="M44" s="79">
        <f ca="1">M45+M46</f>
        <v>470772</v>
      </c>
      <c r="N44" s="79">
        <f ca="1">N45+N46</f>
        <v>398258</v>
      </c>
      <c r="O44" s="79">
        <f t="shared" ref="O44:O52" ca="1" si="10">IF(L44&gt;0,N44*100/L44,0)</f>
        <v>87.47386269789672</v>
      </c>
      <c r="P44" s="79">
        <f t="shared" ref="P44:P52" ca="1" si="11">IF(M44&gt;0,N44*100/M44,0)</f>
        <v>84.596789953523142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455288</v>
      </c>
      <c r="M46" s="83">
        <f t="shared" ca="1" si="14"/>
        <v>470772</v>
      </c>
      <c r="N46" s="83">
        <f t="shared" ca="1" si="14"/>
        <v>398258</v>
      </c>
      <c r="O46" s="83">
        <f t="shared" ca="1" si="10"/>
        <v>87.47386269789672</v>
      </c>
      <c r="P46" s="83">
        <f t="shared" ca="1" si="11"/>
        <v>84.596789953523142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455288</v>
      </c>
      <c r="M47" s="47">
        <f ca="1">M48+M49</f>
        <v>470772</v>
      </c>
      <c r="N47" s="47">
        <f ca="1">N48+N49</f>
        <v>398258</v>
      </c>
      <c r="O47" s="47">
        <f t="shared" ca="1" si="10"/>
        <v>87.47386269789672</v>
      </c>
      <c r="P47" s="47">
        <f t="shared" ca="1" si="11"/>
        <v>84.596789953523142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IFERROR(__xludf.DUMMYFUNCTION("IMPORTRANGE(""https://docs.google.com/spreadsheets/d/1-uDff_7J0KD5mKrp0Vvzr7lt3OU09vwQwhkpOPPYv2Y/edit?usp=sharing"",""งบพรบ!P88"")"),455288)</f>
        <v>455288</v>
      </c>
      <c r="M49" s="47">
        <f ca="1">IFERROR(__xludf.DUMMYFUNCTION("IMPORTRANGE(""https://docs.google.com/spreadsheets/d/1-uDff_7J0KD5mKrp0Vvzr7lt3OU09vwQwhkpOPPYv2Y/edit?usp=sharing"",""งบพรบ!V88"")"),470772)</f>
        <v>470772</v>
      </c>
      <c r="N49" s="47">
        <f ca="1">IFERROR(__xludf.DUMMYFUNCTION("IMPORTRANGE(""https://docs.google.com/spreadsheets/d/1-uDff_7J0KD5mKrp0Vvzr7lt3OU09vwQwhkpOPPYv2Y/edit?usp=sharing"",""งบพรบ!Y88"")"),398258)</f>
        <v>398258</v>
      </c>
      <c r="O49" s="47">
        <f t="shared" ca="1" si="10"/>
        <v>87.47386269789672</v>
      </c>
      <c r="P49" s="47">
        <f t="shared" ca="1" si="11"/>
        <v>84.596789953523142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363900</v>
      </c>
      <c r="M59" s="106">
        <f ca="1">M60+M61</f>
        <v>363900</v>
      </c>
      <c r="N59" s="106">
        <f ca="1">N60+N61</f>
        <v>332203.46000000002</v>
      </c>
      <c r="O59" s="106">
        <f t="shared" ref="O59:O67" ca="1" si="16">IF(L59&gt;0,N59*100/L59,0)</f>
        <v>91.28976641934598</v>
      </c>
      <c r="P59" s="106">
        <f t="shared" ref="P59:P67" ca="1" si="17">IF(M59&gt;0,N59*100/M59,0)</f>
        <v>91.28976641934598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363900</v>
      </c>
      <c r="M61" s="109">
        <f t="shared" ca="1" si="20"/>
        <v>363900</v>
      </c>
      <c r="N61" s="109">
        <f t="shared" ca="1" si="20"/>
        <v>332203.46000000002</v>
      </c>
      <c r="O61" s="109">
        <f t="shared" ca="1" si="16"/>
        <v>91.28976641934598</v>
      </c>
      <c r="P61" s="109">
        <f t="shared" ca="1" si="17"/>
        <v>91.28976641934598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363900</v>
      </c>
      <c r="M62" s="47">
        <f ca="1">M63+M64</f>
        <v>363900</v>
      </c>
      <c r="N62" s="47">
        <f ca="1">N63+N64</f>
        <v>332203.46000000002</v>
      </c>
      <c r="O62" s="47">
        <f t="shared" ca="1" si="16"/>
        <v>91.28976641934598</v>
      </c>
      <c r="P62" s="47">
        <f t="shared" ca="1" si="17"/>
        <v>91.28976641934598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IFERROR(__xludf.DUMMYFUNCTION("IMPORTRANGE(""https://docs.google.com/spreadsheets/d/1-uDff_7J0KD5mKrp0Vvzr7lt3OU09vwQwhkpOPPYv2Y/edit?usp=sharing"",""งบพรบ!AC88"")"),363900)</f>
        <v>363900</v>
      </c>
      <c r="M64" s="47">
        <f ca="1">IFERROR(__xludf.DUMMYFUNCTION("IMPORTRANGE(""https://docs.google.com/spreadsheets/d/1-uDff_7J0KD5mKrp0Vvzr7lt3OU09vwQwhkpOPPYv2Y/edit?usp=sharing"",""งบพรบ!AH88"")"),363900)</f>
        <v>363900</v>
      </c>
      <c r="N64" s="47">
        <f ca="1">IFERROR(__xludf.DUMMYFUNCTION("IMPORTRANGE(""https://docs.google.com/spreadsheets/d/1-uDff_7J0KD5mKrp0Vvzr7lt3OU09vwQwhkpOPPYv2Y/edit?usp=sharing"",""งบพรบ!AJ88"")"),332203.46)</f>
        <v>332203.46000000002</v>
      </c>
      <c r="O64" s="47">
        <f t="shared" ca="1" si="16"/>
        <v>91.28976641934598</v>
      </c>
      <c r="P64" s="47">
        <f t="shared" ca="1" si="17"/>
        <v>91.28976641934598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98000</v>
      </c>
      <c r="M72" s="132">
        <f ca="1">M73+M74</f>
        <v>98000</v>
      </c>
      <c r="N72" s="132">
        <f ca="1">N73+N74</f>
        <v>72000</v>
      </c>
      <c r="O72" s="132">
        <f t="shared" ref="O72:O80" ca="1" si="22">IF(L72&gt;0,N72*100/L72,0)</f>
        <v>73.469387755102048</v>
      </c>
      <c r="P72" s="132">
        <f t="shared" ref="P72:P80" ca="1" si="23">IF(M72&gt;0,N72*100/M72,0)</f>
        <v>73.469387755102048</v>
      </c>
      <c r="Q72" s="132">
        <f ca="1">Q73+Q74</f>
        <v>792520</v>
      </c>
      <c r="R72" s="132">
        <f ca="1">R73+R74</f>
        <v>792520</v>
      </c>
      <c r="S72" s="132">
        <f ca="1">S73+S74</f>
        <v>41302</v>
      </c>
      <c r="T72" s="132">
        <f t="shared" ref="T72:T80" ca="1" si="24">IF(Q72&gt;0,S72*100/Q72,0)</f>
        <v>5.2114773128753846</v>
      </c>
      <c r="U72" s="132">
        <f t="shared" ref="U72:U80" ca="1" si="25">IF(R72&gt;0,S72*100/R72,0)</f>
        <v>5.2114773128753846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98000</v>
      </c>
      <c r="M74" s="47">
        <f t="shared" ca="1" si="26"/>
        <v>98000</v>
      </c>
      <c r="N74" s="47">
        <f t="shared" ca="1" si="26"/>
        <v>72000</v>
      </c>
      <c r="O74" s="47">
        <f t="shared" ca="1" si="22"/>
        <v>73.469387755102048</v>
      </c>
      <c r="P74" s="47">
        <f t="shared" ca="1" si="23"/>
        <v>73.469387755102048</v>
      </c>
      <c r="Q74" s="47">
        <f t="shared" ca="1" si="27"/>
        <v>792520</v>
      </c>
      <c r="R74" s="47">
        <f t="shared" ca="1" si="27"/>
        <v>792520</v>
      </c>
      <c r="S74" s="47">
        <f t="shared" ca="1" si="27"/>
        <v>41302</v>
      </c>
      <c r="T74" s="47">
        <f t="shared" ca="1" si="24"/>
        <v>5.2114773128753846</v>
      </c>
      <c r="U74" s="47">
        <f t="shared" ca="1" si="25"/>
        <v>5.2114773128753846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98000</v>
      </c>
      <c r="M75" s="47">
        <f ca="1">M76+M77</f>
        <v>98000</v>
      </c>
      <c r="N75" s="47">
        <f ca="1">N76+N77</f>
        <v>72000</v>
      </c>
      <c r="O75" s="47">
        <f t="shared" ca="1" si="22"/>
        <v>73.469387755102048</v>
      </c>
      <c r="P75" s="47">
        <f t="shared" ca="1" si="23"/>
        <v>73.469387755102048</v>
      </c>
      <c r="Q75" s="47">
        <f ca="1">Q76+Q77</f>
        <v>792520</v>
      </c>
      <c r="R75" s="47">
        <f ca="1">R76+R77</f>
        <v>792520</v>
      </c>
      <c r="S75" s="47">
        <f ca="1">S76+S77</f>
        <v>41302</v>
      </c>
      <c r="T75" s="47">
        <f t="shared" ca="1" si="24"/>
        <v>5.2114773128753846</v>
      </c>
      <c r="U75" s="47">
        <f t="shared" ca="1" si="25"/>
        <v>5.2114773128753846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IFERROR(__xludf.DUMMYFUNCTION("IMPORTRANGE(""https://docs.google.com/spreadsheets/d/1-uDff_7J0KD5mKrp0Vvzr7lt3OU09vwQwhkpOPPYv2Y/edit?usp=sharing"",""งบพรบ!AM88"")"),98000)</f>
        <v>98000</v>
      </c>
      <c r="M77" s="47">
        <f ca="1">IFERROR(__xludf.DUMMYFUNCTION("IMPORTRANGE(""https://docs.google.com/spreadsheets/d/1-uDff_7J0KD5mKrp0Vvzr7lt3OU09vwQwhkpOPPYv2Y/edit?usp=sharing"",""งบพรบ!AR88"")"),98000)</f>
        <v>98000</v>
      </c>
      <c r="N77" s="47">
        <f ca="1">IFERROR(__xludf.DUMMYFUNCTION("IMPORTRANGE(""https://docs.google.com/spreadsheets/d/1-uDff_7J0KD5mKrp0Vvzr7lt3OU09vwQwhkpOPPYv2Y/edit?usp=sharing"",""งบพรบ!AT88"")"),72000)</f>
        <v>72000</v>
      </c>
      <c r="O77" s="47">
        <f t="shared" ca="1" si="22"/>
        <v>73.469387755102048</v>
      </c>
      <c r="P77" s="47">
        <f t="shared" ca="1" si="23"/>
        <v>73.469387755102048</v>
      </c>
      <c r="Q77" s="47">
        <f ca="1">IFERROR(__xludf.DUMMYFUNCTION("IMPORTRANGE(""https://docs.google.com/spreadsheets/d/1ItG2mGa2ceCfYo0BwxsXqNm01IGEUdYcSSLTEv9YCik/edit?usp=sharing"",""เบิกจ่ายกองทุน!AS88"")"),792520)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IFERROR(__xludf.DUMMYFUNCTION("IMPORTRANGE(""https://docs.google.com/spreadsheets/d/1ItG2mGa2ceCfYo0BwxsXqNm01IGEUdYcSSLTEv9YCik/edit?usp=sharing"",""เบิกจ่ายกองทุน!AT88"")"),792520)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IFERROR(__xludf.DUMMYFUNCTION("IMPORTRANGE(""https://docs.google.com/spreadsheets/d/1ItG2mGa2ceCfYo0BwxsXqNm01IGEUdYcSSLTEv9YCik/edit?usp=sharing"",""เบิกจ่ายกองทุน!AU88"")"),41302)</f>
        <v>41302</v>
      </c>
      <c r="T77" s="47">
        <f t="shared" ca="1" si="24"/>
        <v>5.2114773128753846</v>
      </c>
      <c r="U77" s="47">
        <f t="shared" ca="1" si="25"/>
        <v>5.2114773128753846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4563</v>
      </c>
      <c r="T94" s="132">
        <f t="shared" ref="T94:T102" ca="1" si="31">IF(Q94&gt;0,S94*100/Q94,0)</f>
        <v>5.4051172707889128</v>
      </c>
      <c r="U94" s="132">
        <f t="shared" ref="U94:U102" ca="1" si="32">IF(R94&gt;0,S94*100/R94,0)</f>
        <v>5.4051172707889128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84420</v>
      </c>
      <c r="R96" s="47">
        <f t="shared" ca="1" si="34"/>
        <v>84420</v>
      </c>
      <c r="S96" s="47">
        <f t="shared" ca="1" si="34"/>
        <v>4563</v>
      </c>
      <c r="T96" s="47">
        <f t="shared" ca="1" si="31"/>
        <v>5.4051172707889128</v>
      </c>
      <c r="U96" s="47">
        <f t="shared" ca="1" si="32"/>
        <v>5.4051172707889128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84420</v>
      </c>
      <c r="R97" s="47">
        <f ca="1">R98+R99</f>
        <v>84420</v>
      </c>
      <c r="S97" s="47">
        <f ca="1">S98+S99</f>
        <v>4563</v>
      </c>
      <c r="T97" s="47">
        <f t="shared" ca="1" si="31"/>
        <v>5.4051172707889128</v>
      </c>
      <c r="U97" s="47">
        <f t="shared" ca="1" si="32"/>
        <v>5.4051172707889128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IFERROR(__xludf.DUMMYFUNCTION("IMPORTRANGE(""https://docs.google.com/spreadsheets/d/1-uDff_7J0KD5mKrp0Vvzr7lt3OU09vwQwhkpOPPYv2Y/edit?usp=sharing"",""งบพรบ!AW88"")"),0)</f>
        <v>0</v>
      </c>
      <c r="M99" s="47">
        <f ca="1">IFERROR(__xludf.DUMMYFUNCTION("IMPORTRANGE(""https://docs.google.com/spreadsheets/d/1-uDff_7J0KD5mKrp0Vvzr7lt3OU09vwQwhkpOPPYv2Y/edit?usp=sharing"",""งบพรบ!BB88"")"),0)</f>
        <v>0</v>
      </c>
      <c r="N99" s="47">
        <f ca="1">IFERROR(__xludf.DUMMYFUNCTION("IMPORTRANGE(""https://docs.google.com/spreadsheets/d/1-uDff_7J0KD5mKrp0Vvzr7lt3OU09vwQwhkpOPPYv2Y/edit?usp=sharing"",""งบพรบ!BD88"")"),0)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IFERROR(__xludf.DUMMYFUNCTION("IMPORTRANGE(""https://docs.google.com/spreadsheets/d/1ItG2mGa2ceCfYo0BwxsXqNm01IGEUdYcSSLTEv9YCik/edit?usp=sharing"",""เบิกจ่ายกองทุน!AE88"")"),84420)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IFERROR(__xludf.DUMMYFUNCTION("IMPORTRANGE(""https://docs.google.com/spreadsheets/d/1ItG2mGa2ceCfYo0BwxsXqNm01IGEUdYcSSLTEv9YCik/edit?usp=sharing"",""เบิกจ่ายกองทุน!AF88"")"),4563)</f>
        <v>4563</v>
      </c>
      <c r="T99" s="47">
        <f t="shared" ca="1" si="31"/>
        <v>5.4051172707889128</v>
      </c>
      <c r="U99" s="47">
        <f t="shared" ca="1" si="32"/>
        <v>5.4051172707889128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172130</v>
      </c>
      <c r="T117" s="132">
        <f t="shared" ref="T117:T125" ca="1" si="37">IF(Q117&gt;0,S117*100/Q117,0)</f>
        <v>60.498383241951359</v>
      </c>
      <c r="U117" s="132">
        <f t="shared" ref="U117:U125" ca="1" si="38">IF(R117&gt;0,S117*100/R117,0)</f>
        <v>60.498383241951359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284520</v>
      </c>
      <c r="R119" s="47">
        <f t="shared" ca="1" si="40"/>
        <v>284520</v>
      </c>
      <c r="S119" s="47">
        <f t="shared" ca="1" si="40"/>
        <v>172130</v>
      </c>
      <c r="T119" s="47">
        <f t="shared" ca="1" si="37"/>
        <v>60.498383241951359</v>
      </c>
      <c r="U119" s="47">
        <f t="shared" ca="1" si="38"/>
        <v>60.498383241951359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172130</v>
      </c>
      <c r="T120" s="47">
        <f t="shared" ca="1" si="37"/>
        <v>60.498383241951359</v>
      </c>
      <c r="U120" s="47">
        <f t="shared" ca="1" si="38"/>
        <v>60.498383241951359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IFERROR(__xludf.DUMMYFUNCTION("IMPORTRANGE(""https://docs.google.com/spreadsheets/d/1ItG2mGa2ceCfYo0BwxsXqNm01IGEUdYcSSLTEv9YCik/edit?usp=sharing"",""เบิกจ่ายกองทุน!S88"")"),284520)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IFERROR(__xludf.DUMMYFUNCTION("IMPORTRANGE(""https://docs.google.com/spreadsheets/d/1ItG2mGa2ceCfYo0BwxsXqNm01IGEUdYcSSLTEv9YCik/edit?usp=sharing"",""เบิกจ่ายกองทุน!T88"")"),172130)</f>
        <v>172130</v>
      </c>
      <c r="T122" s="47">
        <f t="shared" ca="1" si="37"/>
        <v>60.498383241951359</v>
      </c>
      <c r="U122" s="47">
        <f t="shared" ca="1" si="38"/>
        <v>60.498383241951359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31600</v>
      </c>
      <c r="M139" s="132">
        <f ca="1">M140+M141</f>
        <v>26600</v>
      </c>
      <c r="N139" s="132">
        <f ca="1">N140+N141</f>
        <v>20930</v>
      </c>
      <c r="O139" s="132">
        <f t="shared" ref="O139:O147" ca="1" si="41">IF(L139&gt;0,N139*100/L139,0)</f>
        <v>66.234177215189874</v>
      </c>
      <c r="P139" s="132">
        <f t="shared" ref="P139:P147" ca="1" si="42">IF(M139&gt;0,N139*100/M139,0)</f>
        <v>78.684210526315795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31600</v>
      </c>
      <c r="M141" s="47">
        <f t="shared" ca="1" si="45"/>
        <v>26600</v>
      </c>
      <c r="N141" s="47">
        <f t="shared" ca="1" si="45"/>
        <v>20930</v>
      </c>
      <c r="O141" s="47">
        <f t="shared" ca="1" si="41"/>
        <v>66.234177215189874</v>
      </c>
      <c r="P141" s="47">
        <f t="shared" ca="1" si="42"/>
        <v>78.684210526315795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31600</v>
      </c>
      <c r="M142" s="47">
        <f ca="1">M143+M144</f>
        <v>26600</v>
      </c>
      <c r="N142" s="47">
        <f ca="1">N143+N144</f>
        <v>20930</v>
      </c>
      <c r="O142" s="47">
        <f t="shared" ca="1" si="41"/>
        <v>66.234177215189874</v>
      </c>
      <c r="P142" s="47">
        <f t="shared" ca="1" si="42"/>
        <v>78.684210526315795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IFERROR(__xludf.DUMMYFUNCTION("IMPORTRANGE(""https://docs.google.com/spreadsheets/d/1-uDff_7J0KD5mKrp0Vvzr7lt3OU09vwQwhkpOPPYv2Y/edit?usp=sharing"",""งบพรบ!BX88"")"),20930)</f>
        <v>20930</v>
      </c>
      <c r="O144" s="47">
        <f t="shared" ca="1" si="41"/>
        <v>66.234177215189874</v>
      </c>
      <c r="P144" s="47">
        <f t="shared" ca="1" si="42"/>
        <v>78.684210526315795</v>
      </c>
      <c r="Q144" s="47">
        <f ca="1">IFERROR(__xludf.DUMMYFUNCTION("IMPORTRANGE(""https://docs.google.com/spreadsheets/d/1ItG2mGa2ceCfYo0BwxsXqNm01IGEUdYcSSLTEv9YCik/edit?usp=sharing"",""เบิกจ่ายกองทุน!BB88"")"),0)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IFERROR(__xludf.DUMMYFUNCTION("IMPORTRANGE(""https://docs.google.com/spreadsheets/d/1ItG2mGa2ceCfYo0BwxsXqNm01IGEUdYcSSLTEv9YCik/edit?usp=sharing"",""เบิกจ่ายกองทุน!BC88"")"),0)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IFERROR(__xludf.DUMMYFUNCTION("IMPORTRANGE(""https://docs.google.com/spreadsheets/d/1ItG2mGa2ceCfYo0BwxsXqNm01IGEUdYcSSLTEv9YCik/edit?usp=sharing"",""เบิกจ่ายกองทุน!BD88"")"),0)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3000</v>
      </c>
      <c r="M157" s="132">
        <f ca="1">M158+M159</f>
        <v>14150</v>
      </c>
      <c r="N157" s="132">
        <f ca="1">N158+N159</f>
        <v>2250</v>
      </c>
      <c r="O157" s="132">
        <f t="shared" ref="O157:O165" ca="1" si="47">IF(L157&gt;0,N157*100/L157,0)</f>
        <v>75</v>
      </c>
      <c r="P157" s="132">
        <f t="shared" ref="P157:P165" ca="1" si="48">IF(M157&gt;0,N157*100/M157,0)</f>
        <v>15.901060070671377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3000</v>
      </c>
      <c r="M159" s="47">
        <f t="shared" ca="1" si="51"/>
        <v>14150</v>
      </c>
      <c r="N159" s="47">
        <f t="shared" ca="1" si="51"/>
        <v>2250</v>
      </c>
      <c r="O159" s="47">
        <f t="shared" ca="1" si="47"/>
        <v>75</v>
      </c>
      <c r="P159" s="47">
        <f t="shared" ca="1" si="48"/>
        <v>15.901060070671377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3000</v>
      </c>
      <c r="M160" s="47">
        <f ca="1">M161+M162</f>
        <v>14150</v>
      </c>
      <c r="N160" s="47">
        <f ca="1">N161+N162</f>
        <v>2250</v>
      </c>
      <c r="O160" s="47">
        <f t="shared" ca="1" si="47"/>
        <v>75</v>
      </c>
      <c r="P160" s="47">
        <f t="shared" ca="1" si="48"/>
        <v>15.901060070671377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IFERROR(__xludf.DUMMYFUNCTION("IMPORTRANGE(""https://docs.google.com/spreadsheets/d/1-uDff_7J0KD5mKrp0Vvzr7lt3OU09vwQwhkpOPPYv2Y/edit?usp=sharing"",""งบพรบ!CA88"")"),3000)</f>
        <v>3000</v>
      </c>
      <c r="M162" s="47">
        <f ca="1">IFERROR(__xludf.DUMMYFUNCTION("IMPORTRANGE(""https://docs.google.com/spreadsheets/d/1-uDff_7J0KD5mKrp0Vvzr7lt3OU09vwQwhkpOPPYv2Y/edit?usp=sharing"",""งบพรบ!CF88"")"),14150)</f>
        <v>14150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t="shared" ca="1" si="47"/>
        <v>75</v>
      </c>
      <c r="P162" s="47">
        <f t="shared" ca="1" si="48"/>
        <v>15.901060070671377</v>
      </c>
      <c r="Q162" s="47">
        <f ca="1">IFERROR(__xludf.DUMMYFUNCTION("IMPORTRANGE(""https://docs.google.com/spreadsheets/d/1ItG2mGa2ceCfYo0BwxsXqNm01IGEUdYcSSLTEv9YCik/edit?usp=sharing"",""เบิกจ่ายกองทุน!AG88"")"),0)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IFERROR(__xludf.DUMMYFUNCTION("IMPORTRANGE(""https://docs.google.com/spreadsheets/d/1ItG2mGa2ceCfYo0BwxsXqNm01IGEUdYcSSLTEv9YCik/edit?usp=sharing"",""เบิกจ่ายกองทุน!AI88"")"),0)</f>
        <v>0</v>
      </c>
      <c r="T162" s="47">
        <f t="shared" ca="1" si="49"/>
        <v>0</v>
      </c>
      <c r="U162" s="47">
        <f t="shared" ca="1" si="50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I167</f>
        <v>15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I167</f>
        <v>15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35640</v>
      </c>
      <c r="N173" s="132">
        <f ca="1">N174+N175</f>
        <v>31572</v>
      </c>
      <c r="O173" s="132">
        <f t="shared" ref="O173:O181" ca="1" si="53">IF(L173&gt;0,N173*100/L173,0)</f>
        <v>161.16385911179174</v>
      </c>
      <c r="P173" s="132">
        <f t="shared" ref="P173:P181" ca="1" si="54">IF(M173&gt;0,N173*100/M173,0)</f>
        <v>88.585858585858588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35640</v>
      </c>
      <c r="N175" s="47">
        <f t="shared" ca="1" si="57"/>
        <v>31572</v>
      </c>
      <c r="O175" s="47">
        <f t="shared" ca="1" si="53"/>
        <v>161.16385911179174</v>
      </c>
      <c r="P175" s="47">
        <f t="shared" ca="1" si="54"/>
        <v>88.585858585858588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35640</v>
      </c>
      <c r="N176" s="47">
        <f ca="1">N177+N178</f>
        <v>31572</v>
      </c>
      <c r="O176" s="47">
        <f t="shared" ca="1" si="53"/>
        <v>161.16385911179174</v>
      </c>
      <c r="P176" s="47">
        <f t="shared" ca="1" si="54"/>
        <v>88.585858585858588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IFERROR(__xludf.DUMMYFUNCTION("IMPORTRANGE(""https://docs.google.com/spreadsheets/d/1-uDff_7J0KD5mKrp0Vvzr7lt3OU09vwQwhkpOPPYv2Y/edit?usp=sharing"",""งบพรบ!CR88"")"),31572)</f>
        <v>31572</v>
      </c>
      <c r="O178" s="47">
        <f t="shared" ca="1" si="53"/>
        <v>161.16385911179174</v>
      </c>
      <c r="P178" s="47">
        <f t="shared" ca="1" si="54"/>
        <v>88.585858585858588</v>
      </c>
      <c r="Q178" s="47">
        <f ca="1">IFERROR(__xludf.DUMMYFUNCTION("IMPORTRANGE(""https://docs.google.com/spreadsheets/d/1ItG2mGa2ceCfYo0BwxsXqNm01IGEUdYcSSLTEv9YCik/edit?usp=sharing"",""เบิกจ่ายกองทุน!BE88"")"),0)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IFERROR(__xludf.DUMMYFUNCTION("IMPORTRANGE(""https://docs.google.com/spreadsheets/d/1ItG2mGa2ceCfYo0BwxsXqNm01IGEUdYcSSLTEv9YCik/edit?usp=sharing"",""เบิกจ่ายกองทุน!BF88"")"),0)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IFERROR(__xludf.DUMMYFUNCTION("IMPORTRANGE(""https://docs.google.com/spreadsheets/d/1ItG2mGa2ceCfYo0BwxsXqNm01IGEUdYcSSLTEv9YCik/edit?usp=sharing"",""เบิกจ่ายกองทุน!BG88"")"),0)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223500</v>
      </c>
      <c r="M186" s="132">
        <f ca="1">M187+M188</f>
        <v>214700</v>
      </c>
      <c r="N186" s="132">
        <f ca="1">N187+N188</f>
        <v>137100.01</v>
      </c>
      <c r="O186" s="132">
        <f t="shared" ref="O186:O194" ca="1" si="59">IF(L186&gt;0,N186*100/L186,0)</f>
        <v>61.342286353467564</v>
      </c>
      <c r="P186" s="132">
        <f t="shared" ref="P186:P194" ca="1" si="60">IF(M186&gt;0,N186*100/M186,0)</f>
        <v>63.856548672566369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223500</v>
      </c>
      <c r="M188" s="47">
        <f t="shared" ca="1" si="63"/>
        <v>214700</v>
      </c>
      <c r="N188" s="47">
        <f t="shared" ca="1" si="63"/>
        <v>137100.01</v>
      </c>
      <c r="O188" s="47">
        <f t="shared" ca="1" si="59"/>
        <v>61.342286353467564</v>
      </c>
      <c r="P188" s="47">
        <f t="shared" ca="1" si="60"/>
        <v>63.856548672566369</v>
      </c>
      <c r="Q188" s="47">
        <f t="shared" ca="1" si="64"/>
        <v>56000</v>
      </c>
      <c r="R188" s="47">
        <f t="shared" ca="1" si="64"/>
        <v>56000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223500</v>
      </c>
      <c r="M189" s="47">
        <f ca="1">M190+M191</f>
        <v>214700</v>
      </c>
      <c r="N189" s="47">
        <f ca="1">N190+N191</f>
        <v>137100.01</v>
      </c>
      <c r="O189" s="47">
        <f t="shared" ca="1" si="59"/>
        <v>61.342286353467564</v>
      </c>
      <c r="P189" s="47">
        <f t="shared" ca="1" si="60"/>
        <v>63.856548672566369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IFERROR(__xludf.DUMMYFUNCTION("IMPORTRANGE(""https://docs.google.com/spreadsheets/d/1-uDff_7J0KD5mKrp0Vvzr7lt3OU09vwQwhkpOPPYv2Y/edit?usp=sharing"",""งบพรบ!CU88"")"),223500)</f>
        <v>223500</v>
      </c>
      <c r="M191" s="47">
        <f ca="1">IFERROR(__xludf.DUMMYFUNCTION("IMPORTRANGE(""https://docs.google.com/spreadsheets/d/1-uDff_7J0KD5mKrp0Vvzr7lt3OU09vwQwhkpOPPYv2Y/edit?usp=sharing"",""งบพรบ!CZ88"")"),214700)</f>
        <v>214700</v>
      </c>
      <c r="N191" s="47">
        <f ca="1">IFERROR(__xludf.DUMMYFUNCTION("IMPORTRANGE(""https://docs.google.com/spreadsheets/d/1-uDff_7J0KD5mKrp0Vvzr7lt3OU09vwQwhkpOPPYv2Y/edit?usp=sharing"",""งบพรบ!DB88"")"),137100.01)</f>
        <v>137100.01</v>
      </c>
      <c r="O191" s="47">
        <f t="shared" ca="1" si="59"/>
        <v>61.342286353467564</v>
      </c>
      <c r="P191" s="47">
        <f t="shared" ca="1" si="60"/>
        <v>63.856548672566369</v>
      </c>
      <c r="Q191" s="47">
        <f ca="1">IFERROR(__xludf.DUMMYFUNCTION("IMPORTRANGE(""https://docs.google.com/spreadsheets/d/1ItG2mGa2ceCfYo0BwxsXqNm01IGEUdYcSSLTEv9YCik/edit?usp=sharing"",""เบิกจ่ายกองทุน!AV88"")"),56000)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IFERROR(__xludf.DUMMYFUNCTION("IMPORTRANGE(""https://docs.google.com/spreadsheets/d/1ItG2mGa2ceCfYo0BwxsXqNm01IGEUdYcSSLTEv9YCik/edit?usp=sharing"",""เบิกจ่ายกองทุน!AW88"")"),56000)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IFERROR(__xludf.DUMMYFUNCTION("IMPORTRANGE(""https://docs.google.com/spreadsheets/d/1ItG2mGa2ceCfYo0BwxsXqNm01IGEUdYcSSLTEv9YCik/edit?usp=sharing"",""เบิกจ่ายกองทุน!AX88"")"),0)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672">
        <v>1200</v>
      </c>
      <c r="O196" s="132">
        <f ca="1">IF(L196&gt;0,N196*100/L196,0)</f>
        <v>20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56000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IFERROR(__xludf.DUMMYFUNCTION("IMPORTRANGE(""https://docs.google.com/spreadsheets/d/1eHaY18a8A9IcSdp1K8H6x8fbOy06t2VsZHhMHf-1x7Y/edit?usp=sharing"",""แผน!AG88"")"),2000)</f>
        <v>2000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IFERROR(__xludf.DUMMYFUNCTION("IMPORTRANGE(""https://docs.google.com/spreadsheets/d/1eHaY18a8A9IcSdp1K8H6x8fbOy06t2VsZHhMHf-1x7Y/edit?usp=sharing"",""แผน!AH88"")"),0)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IFERROR(__xludf.DUMMYFUNCTION("IMPORTRANGE(""https://docs.google.com/spreadsheets/d/1eHaY18a8A9IcSdp1K8H6x8fbOy06t2VsZHhMHf-1x7Y/edit?usp=sharing"",""แผน!AI88"")"),0)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IFERROR(__xludf.DUMMYFUNCTION("IMPORTRANGE(""https://docs.google.com/spreadsheets/d/1eHaY18a8A9IcSdp1K8H6x8fbOy06t2VsZHhMHf-1x7Y/edit?usp=sharing"",""แผน!AJ88"")"),13000)</f>
        <v>13000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IFERROR(__xludf.DUMMYFUNCTION("IMPORTRANGE(""https://docs.google.com/spreadsheets/d/1eHaY18a8A9IcSdp1K8H6x8fbOy06t2VsZHhMHf-1x7Y/edit?usp=sharing"",""แผน!AM88"")"),0)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IFERROR(__xludf.DUMMYFUNCTION("IMPORTRANGE(""https://docs.google.com/spreadsheets/d/1eHaY18a8A9IcSdp1K8H6x8fbOy06t2VsZHhMHf-1x7Y/edit?usp=sharing"",""แผน!AN88"")"),0)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IFERROR(__xludf.DUMMYFUNCTION("IMPORTRANGE(""https://docs.google.com/spreadsheets/d/1eHaY18a8A9IcSdp1K8H6x8fbOy06t2VsZHhMHf-1x7Y/edit?usp=sharing"",""แผน!AO88"")"),0)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IFERROR(__xludf.DUMMYFUNCTION("IMPORTRANGE(""https://docs.google.com/spreadsheets/d/1eHaY18a8A9IcSdp1K8H6x8fbOy06t2VsZHhMHf-1x7Y/edit?usp=sharing"",""แผน!LY88"")"),0)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IFERROR(__xludf.DUMMYFUNCTION("IMPORTRANGE(""https://docs.google.com/spreadsheets/d/1eHaY18a8A9IcSdp1K8H6x8fbOy06t2VsZHhMHf-1x7Y/edit?usp=sharing"",""แผน!AR88"")"),2500)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IFERROR(__xludf.DUMMYFUNCTION("IMPORTRANGE(""https://docs.google.com/spreadsheets/d/1eHaY18a8A9IcSdp1K8H6x8fbOy06t2VsZHhMHf-1x7Y/edit?usp=sharing"",""แผน!AS88"")"),2000)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IFERROR(__xludf.DUMMYFUNCTION("IMPORTRANGE(""https://docs.google.com/spreadsheets/d/1eHaY18a8A9IcSdp1K8H6x8fbOy06t2VsZHhMHf-1x7Y/edit?usp=sharing"",""แผน!AT88"")"),0)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47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492" t="s">
        <v>38</v>
      </c>
      <c r="E237" s="141"/>
      <c r="F237" s="141"/>
      <c r="G237" s="142"/>
      <c r="H237" s="143"/>
      <c r="I237" s="135"/>
      <c r="J237" s="45"/>
      <c r="K237" s="46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IFERROR(__xludf.DUMMYFUNCTION("IMPORTRANGE(""https://docs.google.com/spreadsheets/d/1eHaY18a8A9IcSdp1K8H6x8fbOy06t2VsZHhMHf-1x7Y/edit?usp=sharing"",""แผน!AX88"")"),0)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IFERROR(__xludf.DUMMYFUNCTION("IMPORTRANGE(""https://docs.google.com/spreadsheets/d/1eHaY18a8A9IcSdp1K8H6x8fbOy06t2VsZHhMHf-1x7Y/edit?usp=sharing"",""แผน!AY88"")"),0)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IFERROR(__xludf.DUMMYFUNCTION("IMPORTRANGE(""https://docs.google.com/spreadsheets/d/1eHaY18a8A9IcSdp1K8H6x8fbOy06t2VsZHhMHf-1x7Y/edit?usp=sharing"",""แผน!AZ88"")"),0)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IFERROR(__xludf.DUMMYFUNCTION("IMPORTRANGE(""https://docs.google.com/spreadsheets/d/1eHaY18a8A9IcSdp1K8H6x8fbOy06t2VsZHhMHf-1x7Y/edit?usp=sharing"",""แผน!BA88"")"),0)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IFERROR(__xludf.DUMMYFUNCTION("IMPORTRANGE(""https://docs.google.com/spreadsheets/d/1eHaY18a8A9IcSdp1K8H6x8fbOy06t2VsZHhMHf-1x7Y/edit?usp=sharing"",""แผน!BG88"")"),0)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IFERROR(__xludf.DUMMYFUNCTION("IMPORTRANGE(""https://docs.google.com/spreadsheets/d/1eHaY18a8A9IcSdp1K8H6x8fbOy06t2VsZHhMHf-1x7Y/edit?usp=sharing"",""แผน!BB88"")"),0)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IFERROR(__xludf.DUMMYFUNCTION("IMPORTRANGE(""https://docs.google.com/spreadsheets/d/1eHaY18a8A9IcSdp1K8H6x8fbOy06t2VsZHhMHf-1x7Y/edit?usp=sharing"",""แผน!BC88"")"),0)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IFERROR(__xludf.DUMMYFUNCTION("IMPORTRANGE(""https://docs.google.com/spreadsheets/d/1eHaY18a8A9IcSdp1K8H6x8fbOy06t2VsZHhMHf-1x7Y/edit?usp=sharing"",""แผน!BD88"")"),0)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IFERROR(__xludf.DUMMYFUNCTION("IMPORTRANGE(""https://docs.google.com/spreadsheets/d/1eHaY18a8A9IcSdp1K8H6x8fbOy06t2VsZHhMHf-1x7Y/edit?usp=sharing"",""แผน!BE88"")"),0)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IFERROR(__xludf.DUMMYFUNCTION("IMPORTRANGE(""https://docs.google.com/spreadsheets/d/1eHaY18a8A9IcSdp1K8H6x8fbOy06t2VsZHhMHf-1x7Y/edit?usp=sharing"",""แผน!BH88"")"),0)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5000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100</v>
      </c>
      <c r="Q266" s="624">
        <f ca="1">Q267+Q268</f>
        <v>50660</v>
      </c>
      <c r="R266" s="624">
        <f ca="1">R267+R268</f>
        <v>50660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5000</v>
      </c>
      <c r="O268" s="482">
        <f t="shared" ca="1" si="65"/>
        <v>0</v>
      </c>
      <c r="P268" s="482">
        <f t="shared" ca="1" si="66"/>
        <v>100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5000</v>
      </c>
      <c r="O269" s="482">
        <f t="shared" ca="1" si="65"/>
        <v>0</v>
      </c>
      <c r="P269" s="482">
        <f t="shared" ca="1" si="66"/>
        <v>100</v>
      </c>
      <c r="Q269" s="482">
        <f ca="1">Q270+Q271</f>
        <v>50660</v>
      </c>
      <c r="R269" s="482">
        <f ca="1">R270+R271</f>
        <v>50660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IFERROR(__xludf.DUMMYFUNCTION("IMPORTRANGE(""https://docs.google.com/spreadsheets/d/1-uDff_7J0KD5mKrp0Vvzr7lt3OU09vwQwhkpOPPYv2Y/edit?usp=sharing"",""งบพรบ!DE88"")"),0)</f>
        <v>0</v>
      </c>
      <c r="M271" s="482">
        <f ca="1">IFERROR(__xludf.DUMMYFUNCTION("IMPORTRANGE(""https://docs.google.com/spreadsheets/d/1-uDff_7J0KD5mKrp0Vvzr7lt3OU09vwQwhkpOPPYv2Y/edit?usp=sharing"",""งบพรบ!DJ88"")"),5000)</f>
        <v>5000</v>
      </c>
      <c r="N271" s="482">
        <f ca="1">IFERROR(__xludf.DUMMYFUNCTION("IMPORTRANGE(""https://docs.google.com/spreadsheets/d/1-uDff_7J0KD5mKrp0Vvzr7lt3OU09vwQwhkpOPPYv2Y/edit?usp=sharing"",""งบพรบ!DL88"")"),5000)</f>
        <v>5000</v>
      </c>
      <c r="O271" s="482">
        <f t="shared" ca="1" si="65"/>
        <v>0</v>
      </c>
      <c r="P271" s="482">
        <f t="shared" ca="1" si="66"/>
        <v>100</v>
      </c>
      <c r="Q271" s="482">
        <f ca="1">IFERROR(__xludf.DUMMYFUNCTION("IMPORTRANGE(""https://docs.google.com/spreadsheets/d/1ItG2mGa2ceCfYo0BwxsXqNm01IGEUdYcSSLTEv9YCik/edit?usp=sharing"",""เบิกจ่ายกองทุน!AJ88"")"),50660)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IFERROR(__xludf.DUMMYFUNCTION("IMPORTRANGE(""https://docs.google.com/spreadsheets/d/1ItG2mGa2ceCfYo0BwxsXqNm01IGEUdYcSSLTEv9YCik/edit?usp=sharing"",""เบิกจ่ายกองทุน!AK88"")"),50660)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IFERROR(__xludf.DUMMYFUNCTION("IMPORTRANGE(""https://docs.google.com/spreadsheets/d/1ItG2mGa2ceCfYo0BwxsXqNm01IGEUdYcSSLTEv9YCik/edit?usp=sharing"",""เบิกจ่ายกองทุน!AL88"")"),0)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IFERROR(__xludf.DUMMYFUNCTION("IMPORTRANGE(""https://docs.google.com/spreadsheets/d/1-uDff_7J0KD5mKrp0Vvzr7lt3OU09vwQwhkpOPPYv2Y/edit?usp=sharing"",""งบพรบ!DH88"")"),0)</f>
        <v>0</v>
      </c>
      <c r="M274" s="482">
        <f ca="1">IFERROR(__xludf.DUMMYFUNCTION("IMPORTRANGE(""https://docs.google.com/spreadsheets/d/1-uDff_7J0KD5mKrp0Vvzr7lt3OU09vwQwhkpOPPYv2Y/edit?usp=sharing"",""งบพรบ!DK88"")"),0)</f>
        <v>0</v>
      </c>
      <c r="N274" s="482">
        <f ca="1">IFERROR(__xludf.DUMMYFUNCTION("IMPORTRANGE(""https://docs.google.com/spreadsheets/d/1-uDff_7J0KD5mKrp0Vvzr7lt3OU09vwQwhkpOPPYv2Y/edit?usp=sharing"",""งบพรบ!DM88"")"),0)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IFERROR(__xludf.DUMMYFUNCTION("IMPORTRANGE(""https://docs.google.com/spreadsheets/d/1eHaY18a8A9IcSdp1K8H6x8fbOy06t2VsZHhMHf-1x7Y/edit?usp=sharing"",""แผน!EC88"")"),22)</f>
        <v>22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292520</v>
      </c>
      <c r="M282" s="132">
        <f ca="1">M283+M284</f>
        <v>292520</v>
      </c>
      <c r="N282" s="132">
        <f ca="1">N283+N284</f>
        <v>282187.83</v>
      </c>
      <c r="O282" s="132">
        <f t="shared" ref="O282:O290" ca="1" si="71">IF(L282&gt;0,N282*100/L282,0)</f>
        <v>96.467875700806786</v>
      </c>
      <c r="P282" s="132">
        <f t="shared" ref="P282:P290" ca="1" si="72">IF(M282&gt;0,N282*100/M282,0)</f>
        <v>96.467875700806786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292520</v>
      </c>
      <c r="M284" s="47">
        <f t="shared" ca="1" si="75"/>
        <v>292520</v>
      </c>
      <c r="N284" s="47">
        <f t="shared" ca="1" si="75"/>
        <v>282187.83</v>
      </c>
      <c r="O284" s="47">
        <f t="shared" ca="1" si="71"/>
        <v>96.467875700806786</v>
      </c>
      <c r="P284" s="47">
        <f t="shared" ca="1" si="72"/>
        <v>96.467875700806786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292520</v>
      </c>
      <c r="M285" s="47">
        <f ca="1">M286+M287</f>
        <v>292520</v>
      </c>
      <c r="N285" s="47">
        <f ca="1">N286+N287</f>
        <v>282187.83</v>
      </c>
      <c r="O285" s="47">
        <f t="shared" ca="1" si="71"/>
        <v>96.467875700806786</v>
      </c>
      <c r="P285" s="47">
        <f t="shared" ca="1" si="72"/>
        <v>96.467875700806786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IFERROR(__xludf.DUMMYFUNCTION("IMPORTRANGE(""https://docs.google.com/spreadsheets/d/1-uDff_7J0KD5mKrp0Vvzr7lt3OU09vwQwhkpOPPYv2Y/edit?usp=sharing"",""งบพรบ!DO88"")"),292520)</f>
        <v>292520</v>
      </c>
      <c r="M287" s="47">
        <f ca="1">IFERROR(__xludf.DUMMYFUNCTION("IMPORTRANGE(""https://docs.google.com/spreadsheets/d/1-uDff_7J0KD5mKrp0Vvzr7lt3OU09vwQwhkpOPPYv2Y/edit?usp=sharing"",""งบพรบ!DT88"")"),292520)</f>
        <v>292520</v>
      </c>
      <c r="N287" s="47">
        <f ca="1">IFERROR(__xludf.DUMMYFUNCTION("IMPORTRANGE(""https://docs.google.com/spreadsheets/d/1-uDff_7J0KD5mKrp0Vvzr7lt3OU09vwQwhkpOPPYv2Y/edit?usp=sharing"",""งบพรบ!DV88"")"),282187.83)</f>
        <v>282187.83</v>
      </c>
      <c r="O287" s="47">
        <f t="shared" ca="1" si="71"/>
        <v>96.467875700806786</v>
      </c>
      <c r="P287" s="47">
        <f t="shared" ca="1" si="72"/>
        <v>96.467875700806786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184600</v>
      </c>
      <c r="M303" s="132">
        <f ca="1">M304+M305</f>
        <v>184600</v>
      </c>
      <c r="N303" s="132">
        <f ca="1">N304+N305</f>
        <v>123966.66</v>
      </c>
      <c r="O303" s="132">
        <f t="shared" ref="O303:O311" ca="1" si="77">IF(L303&gt;0,N303*100/L303,0)</f>
        <v>67.154203683640304</v>
      </c>
      <c r="P303" s="132">
        <f t="shared" ref="P303:P311" ca="1" si="78">IF(M303&gt;0,N303*100/M303,0)</f>
        <v>67.154203683640304</v>
      </c>
      <c r="Q303" s="132">
        <f ca="1">Q304+Q305</f>
        <v>144609.24</v>
      </c>
      <c r="R303" s="132">
        <f ca="1">R304+R305</f>
        <v>144609</v>
      </c>
      <c r="S303" s="132">
        <f ca="1">S304+S305</f>
        <v>450</v>
      </c>
      <c r="T303" s="132">
        <f t="shared" ref="T303:T311" ca="1" si="79">IF(Q303&gt;0,S303*100/Q303,0)</f>
        <v>0.31118343475147231</v>
      </c>
      <c r="U303" s="132">
        <f t="shared" ref="U303:U311" ca="1" si="80">IF(R303&gt;0,S303*100/R303,0)</f>
        <v>0.31118395120635645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184600</v>
      </c>
      <c r="M305" s="47">
        <f t="shared" ca="1" si="81"/>
        <v>184600</v>
      </c>
      <c r="N305" s="47">
        <f t="shared" ca="1" si="81"/>
        <v>123966.66</v>
      </c>
      <c r="O305" s="47">
        <f t="shared" ca="1" si="77"/>
        <v>67.154203683640304</v>
      </c>
      <c r="P305" s="47">
        <f t="shared" ca="1" si="78"/>
        <v>67.154203683640304</v>
      </c>
      <c r="Q305" s="47">
        <f t="shared" ca="1" si="82"/>
        <v>144609.24</v>
      </c>
      <c r="R305" s="47">
        <f t="shared" ca="1" si="82"/>
        <v>144609</v>
      </c>
      <c r="S305" s="47">
        <f t="shared" ca="1" si="82"/>
        <v>450</v>
      </c>
      <c r="T305" s="47">
        <f t="shared" ca="1" si="79"/>
        <v>0.31118343475147231</v>
      </c>
      <c r="U305" s="47">
        <f t="shared" ca="1" si="80"/>
        <v>0.31118395120635645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184600</v>
      </c>
      <c r="M306" s="47">
        <f ca="1">M307+M308</f>
        <v>184600</v>
      </c>
      <c r="N306" s="47">
        <f ca="1">N307+N308</f>
        <v>123966.66</v>
      </c>
      <c r="O306" s="47">
        <f t="shared" ca="1" si="77"/>
        <v>67.154203683640304</v>
      </c>
      <c r="P306" s="47">
        <f t="shared" ca="1" si="78"/>
        <v>67.154203683640304</v>
      </c>
      <c r="Q306" s="47">
        <f ca="1">Q307+Q308</f>
        <v>144609.24</v>
      </c>
      <c r="R306" s="47">
        <f ca="1">R307+R308</f>
        <v>144609</v>
      </c>
      <c r="S306" s="47">
        <f ca="1">S307+S308</f>
        <v>450</v>
      </c>
      <c r="T306" s="47">
        <f t="shared" ca="1" si="79"/>
        <v>0.31118343475147231</v>
      </c>
      <c r="U306" s="47">
        <f t="shared" ca="1" si="80"/>
        <v>0.31118395120635645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IFERROR(__xludf.DUMMYFUNCTION("IMPORTRANGE(""https://docs.google.com/spreadsheets/d/1-uDff_7J0KD5mKrp0Vvzr7lt3OU09vwQwhkpOPPYv2Y/edit?usp=sharing"",""งบพรบ!DY88"")"),184600)</f>
        <v>184600</v>
      </c>
      <c r="M308" s="47">
        <f ca="1">IFERROR(__xludf.DUMMYFUNCTION("IMPORTRANGE(""https://docs.google.com/spreadsheets/d/1-uDff_7J0KD5mKrp0Vvzr7lt3OU09vwQwhkpOPPYv2Y/edit?usp=sharing"",""งบพรบ!ED88"")"),184600)</f>
        <v>184600</v>
      </c>
      <c r="N308" s="47">
        <f ca="1">IFERROR(__xludf.DUMMYFUNCTION("IMPORTRANGE(""https://docs.google.com/spreadsheets/d/1-uDff_7J0KD5mKrp0Vvzr7lt3OU09vwQwhkpOPPYv2Y/edit?usp=sharing"",""งบพรบ!EF88"")"),123966.66)</f>
        <v>123966.66</v>
      </c>
      <c r="O308" s="47">
        <f t="shared" ca="1" si="77"/>
        <v>67.154203683640304</v>
      </c>
      <c r="P308" s="47">
        <f t="shared" ca="1" si="78"/>
        <v>67.154203683640304</v>
      </c>
      <c r="Q308" s="47">
        <f ca="1">IFERROR(__xludf.DUMMYFUNCTION("IMPORTRANGE(""https://docs.google.com/spreadsheets/d/1ItG2mGa2ceCfYo0BwxsXqNm01IGEUdYcSSLTEv9YCik/edit?usp=sharing"",""เบิกจ่ายกองทุน!AP88"")"),144609.24)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IFERROR(__xludf.DUMMYFUNCTION("IMPORTRANGE(""https://docs.google.com/spreadsheets/d/1ItG2mGa2ceCfYo0BwxsXqNm01IGEUdYcSSLTEv9YCik/edit?usp=sharing"",""เบิกจ่ายกองทุน!AQ88"")"),144609)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IFERROR(__xludf.DUMMYFUNCTION("IMPORTRANGE(""https://docs.google.com/spreadsheets/d/1ItG2mGa2ceCfYo0BwxsXqNm01IGEUdYcSSLTEv9YCik/edit?usp=sharing"",""เบิกจ่ายกองทุน!AR88"")"),450)</f>
        <v>450</v>
      </c>
      <c r="T308" s="47">
        <f t="shared" ca="1" si="79"/>
        <v>0.31118343475147231</v>
      </c>
      <c r="U308" s="47">
        <f t="shared" ca="1" si="80"/>
        <v>0.31118395120635645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20000</v>
      </c>
      <c r="M320" s="132">
        <f ca="1">M321+M322</f>
        <v>20000</v>
      </c>
      <c r="N320" s="132">
        <f ca="1">N321+N322</f>
        <v>20000</v>
      </c>
      <c r="O320" s="132">
        <f t="shared" ref="O320:O328" ca="1" si="83">IF(L320&gt;0,N320*100/L320,0)</f>
        <v>100</v>
      </c>
      <c r="P320" s="132">
        <f t="shared" ref="P320:P328" ca="1" si="84">IF(M320&gt;0,N320*100/M320,0)</f>
        <v>100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20000</v>
      </c>
      <c r="M322" s="47">
        <f t="shared" ca="1" si="87"/>
        <v>20000</v>
      </c>
      <c r="N322" s="47">
        <f t="shared" ca="1" si="87"/>
        <v>20000</v>
      </c>
      <c r="O322" s="47">
        <f t="shared" ca="1" si="83"/>
        <v>100</v>
      </c>
      <c r="P322" s="47">
        <f t="shared" ca="1" si="84"/>
        <v>100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20000</v>
      </c>
      <c r="M323" s="47">
        <f ca="1">M324+M325</f>
        <v>20000</v>
      </c>
      <c r="N323" s="47">
        <f ca="1">N324+N325</f>
        <v>20000</v>
      </c>
      <c r="O323" s="47">
        <f t="shared" ca="1" si="83"/>
        <v>100</v>
      </c>
      <c r="P323" s="47">
        <f t="shared" ca="1" si="84"/>
        <v>100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IFERROR(__xludf.DUMMYFUNCTION("IMPORTRANGE(""https://docs.google.com/spreadsheets/d/1-uDff_7J0KD5mKrp0Vvzr7lt3OU09vwQwhkpOPPYv2Y/edit?usp=sharing"",""งบพรบ!EI88"")"),20000)</f>
        <v>20000</v>
      </c>
      <c r="M325" s="47">
        <f ca="1">IFERROR(__xludf.DUMMYFUNCTION("IMPORTRANGE(""https://docs.google.com/spreadsheets/d/1-uDff_7J0KD5mKrp0Vvzr7lt3OU09vwQwhkpOPPYv2Y/edit?usp=sharing"",""งบพรบ!EN88"")"),20000)</f>
        <v>20000</v>
      </c>
      <c r="N325" s="47">
        <f ca="1">IFERROR(__xludf.DUMMYFUNCTION("IMPORTRANGE(""https://docs.google.com/spreadsheets/d/1-uDff_7J0KD5mKrp0Vvzr7lt3OU09vwQwhkpOPPYv2Y/edit?usp=sharing"",""งบพรบ!EP88"")"),20000)</f>
        <v>20000</v>
      </c>
      <c r="O325" s="47">
        <f t="shared" ca="1" si="83"/>
        <v>100</v>
      </c>
      <c r="P325" s="47">
        <f t="shared" ca="1" si="84"/>
        <v>100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3200</v>
      </c>
      <c r="J332" s="596">
        <f ca="1">J344+J347+J348+J349+J353</f>
        <v>12166</v>
      </c>
      <c r="K332" s="595">
        <f ca="1">IF(I332&gt;0,J332*100/I332,0)</f>
        <v>380.1875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113000</v>
      </c>
      <c r="M333" s="132">
        <f ca="1">M334+M335</f>
        <v>118000</v>
      </c>
      <c r="N333" s="132">
        <f ca="1">N334+N335</f>
        <v>92060</v>
      </c>
      <c r="O333" s="132">
        <f t="shared" ref="O333:O341" ca="1" si="89">IF(L333&gt;0,N333*100/L333,0)</f>
        <v>81.469026548672559</v>
      </c>
      <c r="P333" s="132">
        <f t="shared" ref="P333:P341" ca="1" si="90">IF(M333&gt;0,N333*100/M333,0)</f>
        <v>78.016949152542367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113000</v>
      </c>
      <c r="M335" s="47">
        <f t="shared" ca="1" si="93"/>
        <v>118000</v>
      </c>
      <c r="N335" s="47">
        <f t="shared" ca="1" si="93"/>
        <v>92060</v>
      </c>
      <c r="O335" s="47">
        <f t="shared" ca="1" si="89"/>
        <v>81.469026548672559</v>
      </c>
      <c r="P335" s="47">
        <f t="shared" ca="1" si="90"/>
        <v>78.016949152542367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113000</v>
      </c>
      <c r="M336" s="47">
        <f ca="1">M337+M338</f>
        <v>118000</v>
      </c>
      <c r="N336" s="47">
        <f ca="1">N337+N338</f>
        <v>92060</v>
      </c>
      <c r="O336" s="47">
        <f t="shared" ca="1" si="89"/>
        <v>81.469026548672559</v>
      </c>
      <c r="P336" s="47">
        <f t="shared" ca="1" si="90"/>
        <v>78.016949152542367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IFERROR(__xludf.DUMMYFUNCTION("IMPORTRANGE(""https://docs.google.com/spreadsheets/d/1-uDff_7J0KD5mKrp0Vvzr7lt3OU09vwQwhkpOPPYv2Y/edit?usp=sharing"",""งบพรบ!ES88"")"),113000)</f>
        <v>113000</v>
      </c>
      <c r="M338" s="47">
        <f ca="1">IFERROR(__xludf.DUMMYFUNCTION("IMPORTRANGE(""https://docs.google.com/spreadsheets/d/1-uDff_7J0KD5mKrp0Vvzr7lt3OU09vwQwhkpOPPYv2Y/edit?usp=sharing"",""งบพรบ!EX88"")"),118000)</f>
        <v>118000</v>
      </c>
      <c r="N338" s="47">
        <f ca="1">IFERROR(__xludf.DUMMYFUNCTION("IMPORTRANGE(""https://docs.google.com/spreadsheets/d/1-uDff_7J0KD5mKrp0Vvzr7lt3OU09vwQwhkpOPPYv2Y/edit?usp=sharing"",""งบพรบ!EZ88"")"),92060)</f>
        <v>92060</v>
      </c>
      <c r="O338" s="47">
        <f t="shared" ca="1" si="89"/>
        <v>81.469026548672559</v>
      </c>
      <c r="P338" s="47">
        <f t="shared" ca="1" si="90"/>
        <v>78.016949152542367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6007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IFERROR(__xludf.DUMMYFUNCTION("IMPORTRANGE(""https://docs.google.com/spreadsheets/d/1awYsYK3VOup2i3Pq_Yjnu8DRu_mYwSBnCR2QPthd0rU/edit?usp=sharing"",""ศูนย์ยกเว้นโฉนด!D88"")"),5873)</f>
        <v>5873</v>
      </c>
      <c r="K344" s="47">
        <f ca="1">IF(I344&gt;0,J344*100/I344,0)</f>
        <v>183.53125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IFERROR(__xludf.DUMMYFUNCTION("IMPORTRANGE(""https://docs.google.com/spreadsheets/d/1awYsYK3VOup2i3Pq_Yjnu8DRu_mYwSBnCR2QPthd0rU/edit?usp=sharing"",""ศูนย์รวม!E88"")"),5)</f>
        <v>5</v>
      </c>
      <c r="K346" s="47">
        <f ca="1">IF(I346&gt;0,J346*100/I346,0)</f>
        <v>100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8524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IFERROR(__xludf.DUMMYFUNCTION("IMPORTRANGE(""https://docs.google.com/spreadsheets/d/1awYsYK3VOup2i3Pq_Yjnu8DRu_mYwSBnCR2QPthd0rU/edit?usp=sharing"",""โฉนดM3!G88"")"),2365)</f>
        <v>2365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IFERROR(__xludf.DUMMYFUNCTION("IMPORTRANGE(""https://docs.google.com/spreadsheets/d/1awYsYK3VOup2i3Pq_Yjnu8DRu_mYwSBnCR2QPthd0rU/edit?usp=sharing"",""โฉนดM3!H88"")"),6159)</f>
        <v>6159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746400</v>
      </c>
      <c r="M356" s="132">
        <f ca="1">M357+M358</f>
        <v>746400</v>
      </c>
      <c r="N356" s="132">
        <f ca="1">N357+N358</f>
        <v>557383.37</v>
      </c>
      <c r="O356" s="132">
        <f t="shared" ref="O356:O364" ca="1" si="95">IF(L356&gt;0,N356*100/L356,0)</f>
        <v>74.676228563772781</v>
      </c>
      <c r="P356" s="132">
        <f t="shared" ref="P356:P364" ca="1" si="96">IF(M356&gt;0,N356*100/M356,0)</f>
        <v>74.676228563772781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746400</v>
      </c>
      <c r="M358" s="47">
        <f t="shared" ca="1" si="99"/>
        <v>746400</v>
      </c>
      <c r="N358" s="47">
        <f t="shared" ca="1" si="99"/>
        <v>557383.37</v>
      </c>
      <c r="O358" s="47">
        <f t="shared" ca="1" si="95"/>
        <v>74.676228563772781</v>
      </c>
      <c r="P358" s="47">
        <f t="shared" ca="1" si="96"/>
        <v>74.676228563772781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746400</v>
      </c>
      <c r="M359" s="47">
        <f ca="1">M360+M361</f>
        <v>746400</v>
      </c>
      <c r="N359" s="47">
        <f ca="1">N360+N361</f>
        <v>557383.37</v>
      </c>
      <c r="O359" s="47">
        <f t="shared" ca="1" si="95"/>
        <v>74.676228563772781</v>
      </c>
      <c r="P359" s="47">
        <f t="shared" ca="1" si="96"/>
        <v>74.676228563772781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IFERROR(__xludf.DUMMYFUNCTION("IMPORTRANGE(""https://docs.google.com/spreadsheets/d/1-uDff_7J0KD5mKrp0Vvzr7lt3OU09vwQwhkpOPPYv2Y/edit?usp=sharing"",""งบพรบ!FC88"")"),746400)</f>
        <v>746400</v>
      </c>
      <c r="M361" s="47">
        <f ca="1">IFERROR(__xludf.DUMMYFUNCTION("IMPORTRANGE(""https://docs.google.com/spreadsheets/d/1-uDff_7J0KD5mKrp0Vvzr7lt3OU09vwQwhkpOPPYv2Y/edit?usp=sharing"",""งบพรบ!FH88"")"),746400)</f>
        <v>746400</v>
      </c>
      <c r="N361" s="47">
        <f ca="1">IFERROR(__xludf.DUMMYFUNCTION("IMPORTRANGE(""https://docs.google.com/spreadsheets/d/1-uDff_7J0KD5mKrp0Vvzr7lt3OU09vwQwhkpOPPYv2Y/edit?usp=sharing"",""งบพรบ!FJ88"")"),557383.37)</f>
        <v>557383.37</v>
      </c>
      <c r="O361" s="47">
        <f t="shared" ca="1" si="95"/>
        <v>74.676228563772781</v>
      </c>
      <c r="P361" s="47">
        <f t="shared" ca="1" si="96"/>
        <v>74.676228563772781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521</v>
      </c>
      <c r="J365" s="228">
        <f ca="1">J371</f>
        <v>990</v>
      </c>
      <c r="K365" s="229">
        <f ca="1">IF(I365&gt;0,J365*100/I365,0)</f>
        <v>190.01919385796546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IFERROR(__xludf.DUMMYFUNCTION("IMPORTRANGE(""https://docs.google.com/spreadsheets/d/1tdoBKaGub7dwA3U6UFTqxio9LNnvDCQjHKmttSEBsFQ/edit?usp=sharing"",""จัดที่ดิน!AB88"")"),357)</f>
        <v>357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IFERROR(__xludf.DUMMYFUNCTION("IMPORTRANGE(""https://docs.google.com/spreadsheets/d/1eHaY18a8A9IcSdp1K8H6x8fbOy06t2VsZHhMHf-1x7Y/edit?usp=sharing"",""แผน!EW88"")"),1885)</f>
        <v>1885</v>
      </c>
      <c r="J368" s="584">
        <f ca="1">IFERROR(__xludf.DUMMYFUNCTION("IMPORTRANGE(""https://docs.google.com/spreadsheets/d/1tdoBKaGub7dwA3U6UFTqxio9LNnvDCQjHKmttSEBsFQ/edit?usp=sharing"",""จัดที่ดิน!AC88"")"),4048.39)</f>
        <v>4048.39</v>
      </c>
      <c r="K368" s="47">
        <f t="shared" ca="1" si="101"/>
        <v>214.76870026525199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IFERROR(__xludf.DUMMYFUNCTION("IMPORTRANGE(""https://docs.google.com/spreadsheets/d/1eHaY18a8A9IcSdp1K8H6x8fbOy06t2VsZHhMHf-1x7Y/edit?usp=sharing"",""แผน!EX88"")"),521)</f>
        <v>521</v>
      </c>
      <c r="J369" s="152">
        <f ca="1">IFERROR(__xludf.DUMMYFUNCTION("IMPORTRANGE(""https://docs.google.com/spreadsheets/d/1tdoBKaGub7dwA3U6UFTqxio9LNnvDCQjHKmttSEBsFQ/edit?usp=sharing"",""จัดที่ดิน!AD88"")"),1047)</f>
        <v>1047</v>
      </c>
      <c r="K369" s="47">
        <f t="shared" ca="1" si="101"/>
        <v>200.95969289827255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IFERROR(__xludf.DUMMYFUNCTION("IMPORTRANGE(""https://docs.google.com/spreadsheets/d/1tdoBKaGub7dwA3U6UFTqxio9LNnvDCQjHKmttSEBsFQ/edit?usp=sharing"",""จัดที่ดิน!AE88"")"),14745.09)</f>
        <v>14745.09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IFERROR(__xludf.DUMMYFUNCTION("IMPORTRANGE(""https://docs.google.com/spreadsheets/d/1eHaY18a8A9IcSdp1K8H6x8fbOy06t2VsZHhMHf-1x7Y/edit?usp=sharing"",""แผน!EY88"")"),521)</f>
        <v>521</v>
      </c>
      <c r="J371" s="152">
        <f ca="1">IFERROR(__xludf.DUMMYFUNCTION("IMPORTRANGE(""https://docs.google.com/spreadsheets/d/1tdoBKaGub7dwA3U6UFTqxio9LNnvDCQjHKmttSEBsFQ/edit?usp=sharing"",""จัดที่ดิน!AF88"")"),990)</f>
        <v>990</v>
      </c>
      <c r="K371" s="47">
        <f t="shared" ca="1" si="101"/>
        <v>190.01919385796546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IFERROR(__xludf.DUMMYFUNCTION("IMPORTRANGE(""https://docs.google.com/spreadsheets/d/1tdoBKaGub7dwA3U6UFTqxio9LNnvDCQjHKmttSEBsFQ/edit?usp=sharing"",""จัดที่ดิน!AG88"")"),14367.89)</f>
        <v>14367.89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62500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IFERROR(__xludf.DUMMYFUNCTION("IMPORTRANGE(""https://docs.google.com/spreadsheets/d/1ItG2mGa2ceCfYo0BwxsXqNm01IGEUdYcSSLTEv9YCik/edit?usp=sharing"",""เบิกจ่ายกองทุน!BA88"")"),0)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IFERROR(__xludf.DUMMYFUNCTION("IMPORTRANGE(""https://docs.google.com/spreadsheets/d/1w5rwWK1o49a35cNtocGL0gxDwhFSTZUQu90BiH9_zqM/edit?usp=sharing"",""RTK!L88"")"),0)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IFERROR(__xludf.DUMMYFUNCTION("IMPORTRANGE(""https://docs.google.com/spreadsheets/d/1w5rwWK1o49a35cNtocGL0gxDwhFSTZUQu90BiH9_zqM/edit?usp=sharing"",""RTK!K88"")"),0)</f>
        <v>0</v>
      </c>
      <c r="J388" s="483">
        <f ca="1">IFERROR(__xludf.DUMMYFUNCTION("IMPORTRANGE(""https://docs.google.com/spreadsheets/d/1w5rwWK1o49a35cNtocGL0gxDwhFSTZUQu90BiH9_zqM/edit?usp=sharing"",""RTK!M88"")"),0)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IFERROR(__xludf.DUMMYFUNCTION("IMPORTRANGE(""https://docs.google.com/spreadsheets/d/1ItG2mGa2ceCfYo0BwxsXqNm01IGEUdYcSSLTEv9YCik/edit?usp=sharing"",""เบิกจ่ายกองทุน!BH88"")"),0)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IFERROR(__xludf.DUMMYFUNCTION("IMPORTRANGE(""https://docs.google.com/spreadsheets/d/1ItG2mGa2ceCfYo0BwxsXqNm01IGEUdYcSSLTEv9YCik/edit?usp=sharing"",""เบิกจ่ายกองทุน!BI88"")"),0)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IFERROR(__xludf.DUMMYFUNCTION("IMPORTRANGE(""https://docs.google.com/spreadsheets/d/1ItG2mGa2ceCfYo0BwxsXqNm01IGEUdYcSSLTEv9YCik/edit?usp=sharing"",""เบิกจ่ายกองทุน!BJ88"")"),0)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IFERROR(__xludf.DUMMYFUNCTION("IMPORTRANGE(""https://docs.google.com/spreadsheets/d/1eHaY18a8A9IcSdp1K8H6x8fbOy06t2VsZHhMHf-1x7Y/edit?usp=sharing"",""แผน!HN88"")"),0)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IFERROR(__xludf.DUMMYFUNCTION("IMPORTRANGE(""https://docs.google.com/spreadsheets/d/1eHaY18a8A9IcSdp1K8H6x8fbOy06t2VsZHhMHf-1x7Y/edit?usp=sharing"",""แผน!HO88"")"),0)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460185</v>
      </c>
      <c r="R493" s="132">
        <f ca="1">R494+R495</f>
        <v>460185</v>
      </c>
      <c r="S493" s="132">
        <f ca="1">S494+S495</f>
        <v>52315</v>
      </c>
      <c r="T493" s="132">
        <f t="shared" ref="T493:T501" ca="1" si="122">IF(Q493&gt;0,S493*100/Q493,0)</f>
        <v>11.368254071732022</v>
      </c>
      <c r="U493" s="132">
        <f t="shared" ref="U493:U501" ca="1" si="123">IF(R493&gt;0,S493*100/R493,0)</f>
        <v>11.368254071732022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460185</v>
      </c>
      <c r="R495" s="47">
        <f t="shared" ca="1" si="125"/>
        <v>460185</v>
      </c>
      <c r="S495" s="47">
        <f t="shared" ca="1" si="125"/>
        <v>52315</v>
      </c>
      <c r="T495" s="47">
        <f t="shared" ca="1" si="122"/>
        <v>11.368254071732022</v>
      </c>
      <c r="U495" s="47">
        <f t="shared" ca="1" si="123"/>
        <v>11.368254071732022</v>
      </c>
    </row>
    <row r="496" spans="1:21" ht="18.75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460185</v>
      </c>
      <c r="R496" s="47">
        <f ca="1">R497+R498</f>
        <v>460185</v>
      </c>
      <c r="S496" s="47">
        <f ca="1">S497+S498</f>
        <v>52315</v>
      </c>
      <c r="T496" s="47">
        <f t="shared" ca="1" si="122"/>
        <v>11.368254071732022</v>
      </c>
      <c r="U496" s="47">
        <f t="shared" ca="1" si="123"/>
        <v>11.368254071732022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IFERROR(__xludf.DUMMYFUNCTION("IMPORTRANGE(""https://docs.google.com/spreadsheets/d/1ItG2mGa2ceCfYo0BwxsXqNm01IGEUdYcSSLTEv9YCik/edit?usp=sharing"",""เบิกจ่ายกองทุน!Y88"")"),460185)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IFERROR(__xludf.DUMMYFUNCTION("IMPORTRANGE(""https://docs.google.com/spreadsheets/d/1ItG2mGa2ceCfYo0BwxsXqNm01IGEUdYcSSLTEv9YCik/edit?usp=sharing"",""เบิกจ่ายกองทุน!Z88"")"),52315)</f>
        <v>52315</v>
      </c>
      <c r="T498" s="47">
        <f t="shared" ca="1" si="122"/>
        <v>11.368254071732022</v>
      </c>
      <c r="U498" s="47">
        <f t="shared" ca="1" si="123"/>
        <v>11.368254071732022</v>
      </c>
    </row>
    <row r="499" spans="1:21" ht="18.75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 ca="1">IF(AND(J504=I503,J505=I503,J506=I503,J507=I503),I503,0)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IFERROR(__xludf.DUMMYFUNCTION("IMPORTRANGE(""https://docs.google.com/spreadsheets/d/1eHaY18a8A9IcSdp1K8H6x8fbOy06t2VsZHhMHf-1x7Y/edit?usp=sharing"",""แผน!GY88"")"),0)</f>
        <v>0</v>
      </c>
      <c r="J504" s="167">
        <v>30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1100</v>
      </c>
      <c r="T616" s="132">
        <f t="shared" ref="T616:T624" ca="1" si="159">IF(Q616&gt;0,S616*100/Q616,0)</f>
        <v>53.012048192771083</v>
      </c>
      <c r="U616" s="132">
        <f t="shared" ref="U616:U624" ca="1" si="160">IF(R616&gt;0,S616*100/R616,0)</f>
        <v>53.012048192771083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2075</v>
      </c>
      <c r="R618" s="47">
        <f t="shared" ca="1" si="162"/>
        <v>2075</v>
      </c>
      <c r="S618" s="47">
        <f t="shared" ca="1" si="162"/>
        <v>1100</v>
      </c>
      <c r="T618" s="47">
        <f t="shared" ca="1" si="159"/>
        <v>53.012048192771083</v>
      </c>
      <c r="U618" s="47">
        <f t="shared" ca="1" si="160"/>
        <v>53.012048192771083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2075</v>
      </c>
      <c r="R619" s="47">
        <f ca="1">R620+R621</f>
        <v>2075</v>
      </c>
      <c r="S619" s="47">
        <f ca="1">S620+S621</f>
        <v>1100</v>
      </c>
      <c r="T619" s="47">
        <f t="shared" ca="1" si="159"/>
        <v>53.012048192771083</v>
      </c>
      <c r="U619" s="47">
        <f t="shared" ca="1" si="160"/>
        <v>53.012048192771083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IFERROR(__xludf.DUMMYFUNCTION("IMPORTRANGE(""https://docs.google.com/spreadsheets/d/1ItG2mGa2ceCfYo0BwxsXqNm01IGEUdYcSSLTEv9YCik/edit?usp=sharing"",""เบิกจ่ายกองทุน!H88"")"),1100)</f>
        <v>1100</v>
      </c>
      <c r="T621" s="47">
        <f t="shared" ca="1" si="159"/>
        <v>53.012048192771083</v>
      </c>
      <c r="U621" s="47">
        <f t="shared" ca="1" si="160"/>
        <v>53.012048192771083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55941.8</v>
      </c>
      <c r="T690" s="132">
        <f t="shared" ref="T690:T698" ca="1" si="171">IF(Q690&gt;0,S690*100/Q690,0)</f>
        <v>72.708344164283858</v>
      </c>
      <c r="U690" s="132">
        <f t="shared" ref="U690:U698" ca="1" si="172">IF(R690&gt;0,S690*100/R690,0)</f>
        <v>72.708344164283858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76940</v>
      </c>
      <c r="R692" s="47">
        <f t="shared" ca="1" si="174"/>
        <v>76940</v>
      </c>
      <c r="S692" s="47">
        <f t="shared" ca="1" si="174"/>
        <v>55941.8</v>
      </c>
      <c r="T692" s="47">
        <f t="shared" ca="1" si="171"/>
        <v>72.708344164283858</v>
      </c>
      <c r="U692" s="47">
        <f t="shared" ca="1" si="172"/>
        <v>72.708344164283858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76940</v>
      </c>
      <c r="R693" s="47">
        <f ca="1">R694+R695</f>
        <v>76940</v>
      </c>
      <c r="S693" s="47">
        <f ca="1">S694+S695</f>
        <v>55941.8</v>
      </c>
      <c r="T693" s="47">
        <f t="shared" ca="1" si="171"/>
        <v>72.708344164283858</v>
      </c>
      <c r="U693" s="47">
        <f t="shared" ca="1" si="172"/>
        <v>72.708344164283858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IFERROR(__xludf.DUMMYFUNCTION("IMPORTRANGE(""https://docs.google.com/spreadsheets/d/1ItG2mGa2ceCfYo0BwxsXqNm01IGEUdYcSSLTEv9YCik/edit?usp=sharing"",""เบิกจ่ายกองทุน!N88"")"),55941.8)</f>
        <v>55941.8</v>
      </c>
      <c r="T695" s="47">
        <f t="shared" ca="1" si="171"/>
        <v>72.708344164283858</v>
      </c>
      <c r="U695" s="47">
        <f t="shared" ca="1" si="172"/>
        <v>72.708344164283858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IFERROR(__xludf.DUMMYFUNCTION("IMPORTRANGE(""https://docs.google.com/spreadsheets/d/1eHaY18a8A9IcSdp1K8H6x8fbOy06t2VsZHhMHf-1x7Y/edit?usp=sharing"",""แผน!GA88"")"),51)</f>
        <v>51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IFERROR(__xludf.DUMMYFUNCTION("IMPORTRANGE(""https://docs.google.com/spreadsheets/d/1eHaY18a8A9IcSdp1K8H6x8fbOy06t2VsZHhMHf-1x7Y/edit?usp=sharing"",""แผน!FZ88"")"),500)</f>
        <v>500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74066</v>
      </c>
      <c r="T728" s="132">
        <f t="shared" ref="T728:T736" ca="1" si="184">IF(Q728&gt;0,S728*100/Q728,0)</f>
        <v>19.537840618322825</v>
      </c>
      <c r="U728" s="132">
        <f t="shared" ref="U728:U736" ca="1" si="185">IF(R728&gt;0,S728*100/R728,0)</f>
        <v>19.537840618322825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379090</v>
      </c>
      <c r="R730" s="47">
        <f t="shared" ca="1" si="187"/>
        <v>379090</v>
      </c>
      <c r="S730" s="47">
        <f t="shared" ca="1" si="187"/>
        <v>74066</v>
      </c>
      <c r="T730" s="47">
        <f t="shared" ca="1" si="184"/>
        <v>19.537840618322825</v>
      </c>
      <c r="U730" s="47">
        <f t="shared" ca="1" si="185"/>
        <v>19.537840618322825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74066</v>
      </c>
      <c r="T731" s="47">
        <f t="shared" ca="1" si="184"/>
        <v>19.537840618322825</v>
      </c>
      <c r="U731" s="47">
        <f t="shared" ca="1" si="185"/>
        <v>19.537840618322825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IFERROR(__xludf.DUMMYFUNCTION("IMPORTRANGE(""https://docs.google.com/spreadsheets/d/1ItG2mGa2ceCfYo0BwxsXqNm01IGEUdYcSSLTEv9YCik/edit?usp=sharing"",""เบิกจ่ายกองทุน!Q88"")"),74066)</f>
        <v>74066</v>
      </c>
      <c r="T733" s="47">
        <f t="shared" ca="1" si="184"/>
        <v>19.537840618322825</v>
      </c>
      <c r="U733" s="47">
        <f t="shared" ca="1" si="185"/>
        <v>19.537840618322825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IFERROR(__xludf.DUMMYFUNCTION("IMPORTRANGE(""https://docs.google.com/spreadsheets/d/1eHaY18a8A9IcSdp1K8H6x8fbOy06t2VsZHhMHf-1x7Y/edit?usp=sharing"",""แผน!GB88"")"),400)</f>
        <v>400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IFERROR(__xludf.DUMMYFUNCTION("IMPORTRANGE(""https://docs.google.com/spreadsheets/d/1eHaY18a8A9IcSdp1K8H6x8fbOy06t2VsZHhMHf-1x7Y/edit?usp=sharing"",""แผน!GC88"")"),40)</f>
        <v>40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IFERROR(__xludf.DUMMYFUNCTION("IMPORTRANGE(""https://docs.google.com/spreadsheets/d/1eHaY18a8A9IcSdp1K8H6x8fbOy06t2VsZHhMHf-1x7Y/edit?usp=sharing"",""แผน!GD88"")"),100)</f>
        <v>100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IFERROR(__xludf.DUMMYFUNCTION("IMPORTRANGE(""https://docs.google.com/spreadsheets/d/1eHaY18a8A9IcSdp1K8H6x8fbOy06t2VsZHhMHf-1x7Y/edit?usp=sharing"",""แผน!GE88"")"),10)</f>
        <v>10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IFERROR(__xludf.DUMMYFUNCTION("IMPORTRANGE(""https://docs.google.com/spreadsheets/d/1eHaY18a8A9IcSdp1K8H6x8fbOy06t2VsZHhMHf-1x7Y/edit?usp=sharing"",""แผน!GF88"")"),1)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IFERROR(__xludf.DUMMYFUNCTION("IMPORTRANGE(""https://docs.google.com/spreadsheets/d/1eHaY18a8A9IcSdp1K8H6x8fbOy06t2VsZHhMHf-1x7Y/edit?usp=sharing"",""แผน!GB88"")"),400)</f>
        <v>400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IFERROR(__xludf.DUMMYFUNCTION("IMPORTRANGE(""https://docs.google.com/spreadsheets/d/1eHaY18a8A9IcSdp1K8H6x8fbOy06t2VsZHhMHf-1x7Y/edit?usp=sharing"",""แผน!GD88"")"),100)</f>
        <v>100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40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80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110559</v>
      </c>
      <c r="T760" s="132">
        <f t="shared" ref="T760:T768" ca="1" si="190">IF(Q760&gt;0,S760*100/Q760,0)</f>
        <v>32.615198536786828</v>
      </c>
      <c r="U760" s="132">
        <f t="shared" ref="U760:U768" ca="1" si="191">IF(R760&gt;0,S760*100/R760,0)</f>
        <v>32.615198536786828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338980</v>
      </c>
      <c r="R762" s="47">
        <f t="shared" ca="1" si="193"/>
        <v>338980</v>
      </c>
      <c r="S762" s="47">
        <f t="shared" ca="1" si="193"/>
        <v>110559</v>
      </c>
      <c r="T762" s="47">
        <f t="shared" ca="1" si="190"/>
        <v>32.615198536786828</v>
      </c>
      <c r="U762" s="47">
        <f t="shared" ca="1" si="191"/>
        <v>32.615198536786828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110559</v>
      </c>
      <c r="T763" s="47">
        <f t="shared" ca="1" si="190"/>
        <v>32.615198536786828</v>
      </c>
      <c r="U763" s="47">
        <f t="shared" ca="1" si="191"/>
        <v>32.615198536786828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IFERROR(__xludf.DUMMYFUNCTION("IMPORTRANGE(""https://docs.google.com/spreadsheets/d/1ItG2mGa2ceCfYo0BwxsXqNm01IGEUdYcSSLTEv9YCik/edit?usp=sharing"",""เบิกจ่ายกองทุน!V88"")"),338980)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IFERROR(__xludf.DUMMYFUNCTION("IMPORTRANGE(""https://docs.google.com/spreadsheets/d/1ItG2mGa2ceCfYo0BwxsXqNm01IGEUdYcSSLTEv9YCik/edit?usp=sharing"",""เบิกจ่ายกองทุน!W88"")"),110559)</f>
        <v>110559</v>
      </c>
      <c r="T765" s="47">
        <f t="shared" ca="1" si="190"/>
        <v>32.615198536786828</v>
      </c>
      <c r="U765" s="47">
        <f t="shared" ca="1" si="191"/>
        <v>32.615198536786828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IFERROR(__xludf.DUMMYFUNCTION("IMPORTRANGE(""https://docs.google.com/spreadsheets/d/1eHaY18a8A9IcSdp1K8H6x8fbOy06t2VsZHhMHf-1x7Y/edit?usp=sharing"",""แผน!FI88"")"),0)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IFERROR(__xludf.DUMMYFUNCTION("IMPORTRANGE(""https://docs.google.com/spreadsheets/d/10OvvATaaLtwErnr3qtWFcTmtbfpFEt5Bsqel9sXx0uE/edit?usp=sharing"",""งานกองทุน!D88"")"),2766017.39)</f>
        <v>2766017.39</v>
      </c>
      <c r="J778" s="152">
        <f ca="1">IFERROR(__xludf.DUMMYFUNCTION("IMPORTRANGE(""https://docs.google.com/spreadsheets/d/10OvvATaaLtwErnr3qtWFcTmtbfpFEt5Bsqel9sXx0uE/edit?usp=sharing"",""งานกองทุน!F88"")"),142773.16)</f>
        <v>142773.16</v>
      </c>
      <c r="K778" s="47">
        <f t="shared" ref="K778:K785" ca="1" si="194">IF(I778&gt;0,J778*100/I778,0)</f>
        <v>5.1616869986489853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IFERROR(__xludf.DUMMYFUNCTION("IMPORTRANGE(""https://docs.google.com/spreadsheets/d/10OvvATaaLtwErnr3qtWFcTmtbfpFEt5Bsqel9sXx0uE/edit?usp=sharing"",""งานกองทุน!C88"")"),175)</f>
        <v>175</v>
      </c>
      <c r="J779" s="152">
        <f ca="1">IFERROR(__xludf.DUMMYFUNCTION("IMPORTRANGE(""https://docs.google.com/spreadsheets/d/10OvvATaaLtwErnr3qtWFcTmtbfpFEt5Bsqel9sXx0uE/edit?usp=sharing"",""งานกองทุน!E88"")"),10)</f>
        <v>10</v>
      </c>
      <c r="K779" s="47">
        <f t="shared" ca="1" si="194"/>
        <v>5.7142857142857144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IFERROR(__xludf.DUMMYFUNCTION("IMPORTRANGE(""https://docs.google.com/spreadsheets/d/10OvvATaaLtwErnr3qtWFcTmtbfpFEt5Bsqel9sXx0uE/edit?usp=sharing"",""งานกองทุน!K88"")"),136077.96)</f>
        <v>136077.96</v>
      </c>
      <c r="K780" s="47">
        <f t="shared" ca="1" si="194"/>
        <v>8.5056835169233391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IFERROR(__xludf.DUMMYFUNCTION("IMPORTRANGE(""https://docs.google.com/spreadsheets/d/10OvvATaaLtwErnr3qtWFcTmtbfpFEt5Bsqel9sXx0uE/edit?usp=sharing"",""งานกองทุน!J88"")"),40)</f>
        <v>40</v>
      </c>
      <c r="K781" s="47">
        <f t="shared" ca="1" si="194"/>
        <v>67.79661016949153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IFERROR(__xludf.DUMMYFUNCTION("IMPORTRANGE(""https://docs.google.com/spreadsheets/d/10OvvATaaLtwErnr3qtWFcTmtbfpFEt5Bsqel9sXx0uE/edit?usp=sharing"",""งานกองทุน!N88"")"),153556)</f>
        <v>153556</v>
      </c>
      <c r="J782" s="152">
        <f ca="1">IFERROR(__xludf.DUMMYFUNCTION("IMPORTRANGE(""https://docs.google.com/spreadsheets/d/10OvvATaaLtwErnr3qtWFcTmtbfpFEt5Bsqel9sXx0uE/edit?usp=sharing"",""งานกองทุน!P88"")"),78702)</f>
        <v>78702</v>
      </c>
      <c r="K782" s="47">
        <f t="shared" ca="1" si="194"/>
        <v>51.252963088384696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IFERROR(__xludf.DUMMYFUNCTION("IMPORTRANGE(""https://docs.google.com/spreadsheets/d/10OvvATaaLtwErnr3qtWFcTmtbfpFEt5Bsqel9sXx0uE/edit?usp=sharing"",""งานกองทุน!M88"")"),114)</f>
        <v>114</v>
      </c>
      <c r="J783" s="152">
        <f ca="1">IFERROR(__xludf.DUMMYFUNCTION("IMPORTRANGE(""https://docs.google.com/spreadsheets/d/10OvvATaaLtwErnr3qtWFcTmtbfpFEt5Bsqel9sXx0uE/edit?usp=sharing"",""งานกองทุน!O88"")"),51)</f>
        <v>51</v>
      </c>
      <c r="K783" s="47">
        <f t="shared" ca="1" si="194"/>
        <v>44.736842105263158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t="shared" ca="1" si="194"/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t="shared" ca="1" si="194"/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3C4BA-E6B8-4227-901D-D680C23F067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311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14127360</v>
      </c>
      <c r="M18" s="35">
        <f ca="1">M19+M20</f>
        <v>1856170</v>
      </c>
      <c r="N18" s="35">
        <f ca="1">N19+N20</f>
        <v>1495657.77</v>
      </c>
      <c r="O18" s="35">
        <f t="shared" ref="O18:O26" ca="1" si="0">IF(L18&gt;0,N18*100/L18,0)</f>
        <v>10.586958709907584</v>
      </c>
      <c r="P18" s="35">
        <f t="shared" ref="P18:P26" ca="1" si="1">IF(M18&gt;0,N18*100/M18,0)</f>
        <v>80.577628665477832</v>
      </c>
      <c r="Q18" s="35">
        <f ca="1">Q19+Q20</f>
        <v>1874968</v>
      </c>
      <c r="R18" s="35">
        <f ca="1">R19+R20</f>
        <v>1844868</v>
      </c>
      <c r="S18" s="35">
        <f ca="1">S19+S20</f>
        <v>203402.59</v>
      </c>
      <c r="T18" s="35">
        <f t="shared" ref="T18:T26" ca="1" si="2">IF(Q18&gt;0,S18*100/Q18,0)</f>
        <v>10.848323278050612</v>
      </c>
      <c r="U18" s="35">
        <f t="shared" ref="U18:U26" ca="1" si="3">IF(R18&gt;0,S18*100/R18,0)</f>
        <v>11.025319426647327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14127360</v>
      </c>
      <c r="M20" s="39">
        <f t="shared" ca="1" si="4"/>
        <v>1856170</v>
      </c>
      <c r="N20" s="39">
        <f t="shared" ca="1" si="4"/>
        <v>1495657.77</v>
      </c>
      <c r="O20" s="39">
        <f t="shared" ca="1" si="0"/>
        <v>10.586958709907584</v>
      </c>
      <c r="P20" s="39">
        <f t="shared" ca="1" si="1"/>
        <v>80.577628665477832</v>
      </c>
      <c r="Q20" s="39">
        <f t="shared" ca="1" si="5"/>
        <v>1874968</v>
      </c>
      <c r="R20" s="39">
        <f t="shared" ca="1" si="5"/>
        <v>1844868</v>
      </c>
      <c r="S20" s="39">
        <f t="shared" ca="1" si="5"/>
        <v>203402.59</v>
      </c>
      <c r="T20" s="39">
        <f t="shared" ca="1" si="2"/>
        <v>10.848323278050612</v>
      </c>
      <c r="U20" s="39">
        <f t="shared" ca="1" si="3"/>
        <v>11.025319426647327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1681960</v>
      </c>
      <c r="M21" s="47">
        <f ca="1">M22+M23</f>
        <v>1856170</v>
      </c>
      <c r="N21" s="47">
        <f ca="1">N22+N23</f>
        <v>1495657.77</v>
      </c>
      <c r="O21" s="47">
        <f t="shared" ca="1" si="0"/>
        <v>88.923504126138553</v>
      </c>
      <c r="P21" s="47">
        <f t="shared" ca="1" si="1"/>
        <v>80.577628665477832</v>
      </c>
      <c r="Q21" s="47">
        <f ca="1">Q22+Q23</f>
        <v>1874968</v>
      </c>
      <c r="R21" s="47">
        <f ca="1">R22+R23</f>
        <v>1844868</v>
      </c>
      <c r="S21" s="47">
        <f ca="1">S22+S23</f>
        <v>203402.59</v>
      </c>
      <c r="T21" s="47">
        <f t="shared" ca="1" si="2"/>
        <v>10.848323278050612</v>
      </c>
      <c r="U21" s="47">
        <f t="shared" ca="1" si="3"/>
        <v>11.025319426647327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1681960</v>
      </c>
      <c r="M23" s="47">
        <f t="shared" ca="1" si="6"/>
        <v>1856170</v>
      </c>
      <c r="N23" s="47">
        <f t="shared" ca="1" si="6"/>
        <v>1495657.77</v>
      </c>
      <c r="O23" s="47">
        <f t="shared" ca="1" si="0"/>
        <v>88.923504126138553</v>
      </c>
      <c r="P23" s="47">
        <f t="shared" ca="1" si="1"/>
        <v>80.577628665477832</v>
      </c>
      <c r="Q23" s="47">
        <f t="shared" ca="1" si="7"/>
        <v>1874968</v>
      </c>
      <c r="R23" s="47">
        <f t="shared" ca="1" si="7"/>
        <v>1844868</v>
      </c>
      <c r="S23" s="47">
        <f t="shared" ca="1" si="7"/>
        <v>203402.59</v>
      </c>
      <c r="T23" s="47">
        <f t="shared" ca="1" si="2"/>
        <v>10.848323278050612</v>
      </c>
      <c r="U23" s="47">
        <f t="shared" ca="1" si="3"/>
        <v>11.025319426647327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12445400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12445400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1681960</v>
      </c>
      <c r="M40" s="703">
        <f ca="1">M44+M59+M72+M94+M125+M139+M157+M173+M186+M266+M282+M303+M320+M333+M356</f>
        <v>1856170</v>
      </c>
      <c r="N40" s="703">
        <f ca="1">N44+N59+N72+N94+N125+N139+N157+N173+N186+N266+N282+N303+N320+N333+N356</f>
        <v>1495657.77</v>
      </c>
      <c r="O40" s="703">
        <f ca="1">IF(L40&gt;0,N40*100/L40,0)</f>
        <v>88.923504126138553</v>
      </c>
      <c r="P40" s="703">
        <f ca="1">IF(M40&gt;0,N40*100/M40,0)</f>
        <v>80.577628665477832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360820</v>
      </c>
      <c r="M44" s="79">
        <f ca="1">M45+M46</f>
        <v>400370</v>
      </c>
      <c r="N44" s="79">
        <f ca="1">N45+N46</f>
        <v>351412</v>
      </c>
      <c r="O44" s="79">
        <f t="shared" ref="O44:O52" ca="1" si="10">IF(L44&gt;0,N44*100/L44,0)</f>
        <v>97.392605731389608</v>
      </c>
      <c r="P44" s="79">
        <f t="shared" ref="P44:P52" ca="1" si="11">IF(M44&gt;0,N44*100/M44,0)</f>
        <v>87.771811074755846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360820</v>
      </c>
      <c r="M46" s="83">
        <f t="shared" ca="1" si="14"/>
        <v>400370</v>
      </c>
      <c r="N46" s="83">
        <f t="shared" ca="1" si="14"/>
        <v>351412</v>
      </c>
      <c r="O46" s="83">
        <f t="shared" ca="1" si="10"/>
        <v>97.392605731389608</v>
      </c>
      <c r="P46" s="83">
        <f t="shared" ca="1" si="11"/>
        <v>87.771811074755846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360820</v>
      </c>
      <c r="M47" s="47">
        <f ca="1">M48+M49</f>
        <v>400370</v>
      </c>
      <c r="N47" s="47">
        <f ca="1">N48+N49</f>
        <v>351412</v>
      </c>
      <c r="O47" s="47">
        <f t="shared" ca="1" si="10"/>
        <v>97.392605731389608</v>
      </c>
      <c r="P47" s="47">
        <f t="shared" ca="1" si="11"/>
        <v>87.771811074755846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IFERROR(__xludf.DUMMYFUNCTION("IMPORTRANGE(""https://docs.google.com/spreadsheets/d/1-uDff_7J0KD5mKrp0Vvzr7lt3OU09vwQwhkpOPPYv2Y/edit?usp=sharing"",""งบพรบ!P75"")"),360820)</f>
        <v>360820</v>
      </c>
      <c r="M49" s="47">
        <f ca="1">IFERROR(__xludf.DUMMYFUNCTION("IMPORTRANGE(""https://docs.google.com/spreadsheets/d/1-uDff_7J0KD5mKrp0Vvzr7lt3OU09vwQwhkpOPPYv2Y/edit?usp=sharing"",""งบพรบ!V75"")"),400370)</f>
        <v>400370</v>
      </c>
      <c r="N49" s="47">
        <f ca="1">IFERROR(__xludf.DUMMYFUNCTION("IMPORTRANGE(""https://docs.google.com/spreadsheets/d/1-uDff_7J0KD5mKrp0Vvzr7lt3OU09vwQwhkpOPPYv2Y/edit?usp=sharing"",""งบพรบ!Y75"")"),351412)</f>
        <v>351412</v>
      </c>
      <c r="O49" s="47">
        <f t="shared" ca="1" si="10"/>
        <v>97.392605731389608</v>
      </c>
      <c r="P49" s="47">
        <f t="shared" ca="1" si="11"/>
        <v>87.771811074755846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444800</v>
      </c>
      <c r="M59" s="106">
        <f ca="1">M60+M61</f>
        <v>444800</v>
      </c>
      <c r="N59" s="106">
        <f ca="1">N60+N61</f>
        <v>395275.87</v>
      </c>
      <c r="O59" s="106">
        <f t="shared" ref="O59:O67" ca="1" si="16">IF(L59&gt;0,N59*100/L59,0)</f>
        <v>88.865977967625895</v>
      </c>
      <c r="P59" s="106">
        <f t="shared" ref="P59:P67" ca="1" si="17">IF(M59&gt;0,N59*100/M59,0)</f>
        <v>88.865977967625895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444800</v>
      </c>
      <c r="M61" s="109">
        <f t="shared" ca="1" si="20"/>
        <v>444800</v>
      </c>
      <c r="N61" s="109">
        <f t="shared" ca="1" si="20"/>
        <v>395275.87</v>
      </c>
      <c r="O61" s="109">
        <f t="shared" ca="1" si="16"/>
        <v>88.865977967625895</v>
      </c>
      <c r="P61" s="109">
        <f t="shared" ca="1" si="17"/>
        <v>88.865977967625895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444800</v>
      </c>
      <c r="M62" s="47">
        <f ca="1">M63+M64</f>
        <v>444800</v>
      </c>
      <c r="N62" s="47">
        <f ca="1">N63+N64</f>
        <v>395275.87</v>
      </c>
      <c r="O62" s="47">
        <f t="shared" ca="1" si="16"/>
        <v>88.865977967625895</v>
      </c>
      <c r="P62" s="47">
        <f t="shared" ca="1" si="17"/>
        <v>88.865977967625895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IFERROR(__xludf.DUMMYFUNCTION("IMPORTRANGE(""https://docs.google.com/spreadsheets/d/1-uDff_7J0KD5mKrp0Vvzr7lt3OU09vwQwhkpOPPYv2Y/edit?usp=sharing"",""งบพรบ!AC75"")"),444800)</f>
        <v>444800</v>
      </c>
      <c r="M64" s="47">
        <f ca="1">IFERROR(__xludf.DUMMYFUNCTION("IMPORTRANGE(""https://docs.google.com/spreadsheets/d/1-uDff_7J0KD5mKrp0Vvzr7lt3OU09vwQwhkpOPPYv2Y/edit?usp=sharing"",""งบพรบ!AH75"")"),444800)</f>
        <v>444800</v>
      </c>
      <c r="N64" s="47">
        <f ca="1">IFERROR(__xludf.DUMMYFUNCTION("IMPORTRANGE(""https://docs.google.com/spreadsheets/d/1-uDff_7J0KD5mKrp0Vvzr7lt3OU09vwQwhkpOPPYv2Y/edit?usp=sharing"",""งบพรบ!AJ75"")"),395275.87)</f>
        <v>395275.87</v>
      </c>
      <c r="O64" s="47">
        <f t="shared" ca="1" si="16"/>
        <v>88.865977967625895</v>
      </c>
      <c r="P64" s="47">
        <f t="shared" ca="1" si="17"/>
        <v>88.865977967625895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IFERROR(__xludf.DUMMYFUNCTION("IMPORTRANGE(""https://docs.google.com/spreadsheets/d/1-uDff_7J0KD5mKrp0Vvzr7lt3OU09vwQwhkpOPPYv2Y/edit?usp=sharing"",""งบพรบ!AF75"")"),0)</f>
        <v>0</v>
      </c>
      <c r="M67" s="111">
        <f ca="1">IFERROR(__xludf.DUMMYFUNCTION("IMPORTRANGE(""https://docs.google.com/spreadsheets/d/1-uDff_7J0KD5mKrp0Vvzr7lt3OU09vwQwhkpOPPYv2Y/edit?usp=sharing"",""งบพรบ!AI75"")"),0)</f>
        <v>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IFERROR(__xludf.DUMMYFUNCTION("IMPORTRANGE(""https://docs.google.com/spreadsheets/d/1ItG2mGa2ceCfYo0BwxsXqNm01IGEUdYcSSLTEv9YCik/edit?usp=sharing"",""เบิกจ่ายกองทุน!AS75"")"),0)</f>
        <v>0</v>
      </c>
      <c r="R77" s="47">
        <f ca="1">IFERROR(__xludf.DUMMYFUNCTION("IMPORTRANGE(""https://docs.google.com/spreadsheets/d/1ItG2mGa2ceCfYo0BwxsXqNm01IGEUdYcSSLTEv9YCik/edit?usp=sharing"",""เบิกจ่ายกองทุน!AT75"")"),0)</f>
        <v>0</v>
      </c>
      <c r="S77" s="47">
        <f ca="1">IFERROR(__xludf.DUMMYFUNCTION("IMPORTRANGE(""https://docs.google.com/spreadsheets/d/1ItG2mGa2ceCfYo0BwxsXqNm01IGEUdYcSSLTEv9YCik/edit?usp=sharing"",""เบิกจ่ายกองทุน!AU75"")"),0)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IFERROR(__xludf.DUMMYFUNCTION("IMPORTRANGE(""https://docs.google.com/spreadsheets/d/1ItG2mGa2ceCfYo0BwxsXqNm01IGEUdYcSSLTEv9YCik/edit?usp=sharing"",""เบิกจ่ายกองทุน!AE75"")"),0)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IFERROR(__xludf.DUMMYFUNCTION("IMPORTRANGE(""https://docs.google.com/spreadsheets/d/1ItG2mGa2ceCfYo0BwxsXqNm01IGEUdYcSSLTEv9YCik/edit?usp=sharing"",""เบิกจ่ายกองทุน!AF75"")"),0)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94066</v>
      </c>
      <c r="T117" s="132">
        <f t="shared" ref="T117:T125" ca="1" si="37">IF(Q117&gt;0,S117*100/Q117,0)</f>
        <v>49.130888958529198</v>
      </c>
      <c r="U117" s="132">
        <f t="shared" ref="U117:U125" ca="1" si="38">IF(R117&gt;0,S117*100/R117,0)</f>
        <v>49.130888958529198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191460</v>
      </c>
      <c r="R119" s="47">
        <f t="shared" ca="1" si="40"/>
        <v>191460</v>
      </c>
      <c r="S119" s="47">
        <f t="shared" ca="1" si="40"/>
        <v>94066</v>
      </c>
      <c r="T119" s="47">
        <f t="shared" ca="1" si="37"/>
        <v>49.130888958529198</v>
      </c>
      <c r="U119" s="47">
        <f t="shared" ca="1" si="38"/>
        <v>49.130888958529198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94066</v>
      </c>
      <c r="T120" s="47">
        <f t="shared" ca="1" si="37"/>
        <v>49.130888958529198</v>
      </c>
      <c r="U120" s="47">
        <f t="shared" ca="1" si="38"/>
        <v>49.130888958529198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IFERROR(__xludf.DUMMYFUNCTION("IMPORTRANGE(""https://docs.google.com/spreadsheets/d/1ItG2mGa2ceCfYo0BwxsXqNm01IGEUdYcSSLTEv9YCik/edit?usp=sharing"",""เบิกจ่ายกองทุน!S75"")"),191460)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IFERROR(__xludf.DUMMYFUNCTION("IMPORTRANGE(""https://docs.google.com/spreadsheets/d/1ItG2mGa2ceCfYo0BwxsXqNm01IGEUdYcSSLTEv9YCik/edit?usp=sharing"",""เบิกจ่ายกองทุน!T75"")"),94066)</f>
        <v>94066</v>
      </c>
      <c r="T122" s="47">
        <f t="shared" ca="1" si="37"/>
        <v>49.130888958529198</v>
      </c>
      <c r="U122" s="47">
        <f t="shared" ca="1" si="38"/>
        <v>49.130888958529198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IFERROR(__xludf.DUMMYFUNCTION("IMPORTRANGE(""https://docs.google.com/spreadsheets/d/1ItG2mGa2ceCfYo0BwxsXqNm01IGEUdYcSSLTEv9YCik/edit?usp=sharing"",""เบิกจ่ายกองทุน!BD75"")"),0)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IFERROR(__xludf.DUMMYFUNCTION("IMPORTRANGE(""https://docs.google.com/spreadsheets/d/1ItG2mGa2ceCfYo0BwxsXqNm01IGEUdYcSSLTEv9YCik/edit?usp=sharing"",""เบิกจ่ายกองทุน!AI75"")"),0)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IFERROR(__xludf.DUMMYFUNCTION("IMPORTRANGE(""https://docs.google.com/spreadsheets/d/1eHaY18a8A9IcSdp1K8H6x8fbOy06t2VsZHhMHf-1x7Y/edit?usp=sharing"",""แผน!Z75"")"),0)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IFERROR(__xludf.DUMMYFUNCTION("IMPORTRANGE(""https://docs.google.com/spreadsheets/d/1eHaY18a8A9IcSdp1K8H6x8fbOy06t2VsZHhMHf-1x7Y/edit?usp=sharing"",""แผน!Z75"")"),0)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t="shared" ref="O173:O181" ca="1" si="53">IF(L173&gt;0,N173*100/L173,0)</f>
        <v>187.59571209800919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36750</v>
      </c>
      <c r="N175" s="47">
        <f t="shared" ca="1" si="57"/>
        <v>36750</v>
      </c>
      <c r="O175" s="47">
        <f t="shared" ca="1" si="53"/>
        <v>187.59571209800919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t="shared" ca="1" si="53"/>
        <v>187.59571209800919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t="shared" ca="1" si="53"/>
        <v>187.59571209800919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IFERROR(__xludf.DUMMYFUNCTION("IMPORTRANGE(""https://docs.google.com/spreadsheets/d/1ItG2mGa2ceCfYo0BwxsXqNm01IGEUdYcSSLTEv9YCik/edit?usp=sharing"",""เบิกจ่ายกองทุน!BG75"")"),0)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136400</v>
      </c>
      <c r="M186" s="132">
        <f ca="1">M187+M188</f>
        <v>121100</v>
      </c>
      <c r="N186" s="132">
        <f ca="1">N187+N188</f>
        <v>80311</v>
      </c>
      <c r="O186" s="132">
        <f t="shared" ref="O186:O194" ca="1" si="59">IF(L186&gt;0,N186*100/L186,0)</f>
        <v>58.87903225806452</v>
      </c>
      <c r="P186" s="132">
        <f t="shared" ref="P186:P194" ca="1" si="60">IF(M186&gt;0,N186*100/M186,0)</f>
        <v>66.317919075144502</v>
      </c>
      <c r="Q186" s="132">
        <f ca="1">Q187+Q188</f>
        <v>42000</v>
      </c>
      <c r="R186" s="132">
        <f ca="1">R187+R188</f>
        <v>42000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136400</v>
      </c>
      <c r="M188" s="47">
        <f t="shared" ca="1" si="63"/>
        <v>121100</v>
      </c>
      <c r="N188" s="47">
        <f t="shared" ca="1" si="63"/>
        <v>80311</v>
      </c>
      <c r="O188" s="47">
        <f t="shared" ca="1" si="59"/>
        <v>58.87903225806452</v>
      </c>
      <c r="P188" s="47">
        <f t="shared" ca="1" si="60"/>
        <v>66.317919075144502</v>
      </c>
      <c r="Q188" s="47">
        <f t="shared" ca="1" si="64"/>
        <v>42000</v>
      </c>
      <c r="R188" s="47">
        <f t="shared" ca="1" si="64"/>
        <v>42000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136400</v>
      </c>
      <c r="M189" s="47">
        <f ca="1">M190+M191</f>
        <v>121100</v>
      </c>
      <c r="N189" s="47">
        <f ca="1">N190+N191</f>
        <v>80311</v>
      </c>
      <c r="O189" s="47">
        <f t="shared" ca="1" si="59"/>
        <v>58.87903225806452</v>
      </c>
      <c r="P189" s="47">
        <f t="shared" ca="1" si="60"/>
        <v>66.317919075144502</v>
      </c>
      <c r="Q189" s="47">
        <f ca="1">Q190+Q191</f>
        <v>42000</v>
      </c>
      <c r="R189" s="47">
        <f ca="1">R190+R191</f>
        <v>42000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IFERROR(__xludf.DUMMYFUNCTION("IMPORTRANGE(""https://docs.google.com/spreadsheets/d/1-uDff_7J0KD5mKrp0Vvzr7lt3OU09vwQwhkpOPPYv2Y/edit?usp=sharing"",""งบพรบ!CU75"")"),136400)</f>
        <v>136400</v>
      </c>
      <c r="M191" s="47">
        <f ca="1">IFERROR(__xludf.DUMMYFUNCTION("IMPORTRANGE(""https://docs.google.com/spreadsheets/d/1-uDff_7J0KD5mKrp0Vvzr7lt3OU09vwQwhkpOPPYv2Y/edit?usp=sharing"",""งบพรบ!CZ75"")"),121100)</f>
        <v>121100</v>
      </c>
      <c r="N191" s="47">
        <f ca="1">IFERROR(__xludf.DUMMYFUNCTION("IMPORTRANGE(""https://docs.google.com/spreadsheets/d/1-uDff_7J0KD5mKrp0Vvzr7lt3OU09vwQwhkpOPPYv2Y/edit?usp=sharing"",""งบพรบ!DB75"")"),80311)</f>
        <v>80311</v>
      </c>
      <c r="O191" s="47">
        <f t="shared" ca="1" si="59"/>
        <v>58.87903225806452</v>
      </c>
      <c r="P191" s="47">
        <f t="shared" ca="1" si="60"/>
        <v>66.317919075144502</v>
      </c>
      <c r="Q191" s="47">
        <f ca="1">IFERROR(__xludf.DUMMYFUNCTION("IMPORTRANGE(""https://docs.google.com/spreadsheets/d/1ItG2mGa2ceCfYo0BwxsXqNm01IGEUdYcSSLTEv9YCik/edit?usp=sharing"",""เบิกจ่ายกองทุน!AV75"")"),42000)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IFERROR(__xludf.DUMMYFUNCTION("IMPORTRANGE(""https://docs.google.com/spreadsheets/d/1ItG2mGa2ceCfYo0BwxsXqNm01IGEUdYcSSLTEv9YCik/edit?usp=sharing"",""เบิกจ่ายกองทุน!AW75"")"),42000)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IFERROR(__xludf.DUMMYFUNCTION("IMPORTRANGE(""https://docs.google.com/spreadsheets/d/1ItG2mGa2ceCfYo0BwxsXqNm01IGEUdYcSSLTEv9YCik/edit?usp=sharing"",""เบิกจ่ายกองทุน!AX75"")"),0)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15000</v>
      </c>
      <c r="M203" s="46"/>
      <c r="N203" s="132">
        <f>N204+N205+N206+N207</f>
        <v>1000</v>
      </c>
      <c r="O203" s="132">
        <f ca="1">IF(L203&gt;0,N203*100/L203,0)</f>
        <v>6.666666666666667</v>
      </c>
      <c r="P203" s="132">
        <f>IF(M203&gt;0,N203*100/M203,0)</f>
        <v>0</v>
      </c>
      <c r="Q203" s="671">
        <f ca="1">Q204+Q205+Q206+Q207</f>
        <v>42000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646">
        <v>1000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IFERROR(__xludf.DUMMYFUNCTION("IMPORTRANGE(""https://docs.google.com/spreadsheets/d/1eHaY18a8A9IcSdp1K8H6x8fbOy06t2VsZHhMHf-1x7Y/edit?usp=sharing"",""แผน!AH75"")"),0)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IFERROR(__xludf.DUMMYFUNCTION("IMPORTRANGE(""https://docs.google.com/spreadsheets/d/1eHaY18a8A9IcSdp1K8H6x8fbOy06t2VsZHhMHf-1x7Y/edit?usp=sharing"",""แผน!AI75"")"),0)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IFERROR(__xludf.DUMMYFUNCTION("IMPORTRANGE(""https://docs.google.com/spreadsheets/d/1eHaY18a8A9IcSdp1K8H6x8fbOy06t2VsZHhMHf-1x7Y/edit?usp=sharing"",""แผน!AM75"")"),0)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IFERROR(__xludf.DUMMYFUNCTION("IMPORTRANGE(""https://docs.google.com/spreadsheets/d/1eHaY18a8A9IcSdp1K8H6x8fbOy06t2VsZHhMHf-1x7Y/edit?usp=sharing"",""แผน!AN75"")"),0)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IFERROR(__xludf.DUMMYFUNCTION("IMPORTRANGE(""https://docs.google.com/spreadsheets/d/1eHaY18a8A9IcSdp1K8H6x8fbOy06t2VsZHhMHf-1x7Y/edit?usp=sharing"",""แผน!AO75"")"),0)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IFERROR(__xludf.DUMMYFUNCTION("IMPORTRANGE(""https://docs.google.com/spreadsheets/d/1eHaY18a8A9IcSdp1K8H6x8fbOy06t2VsZHhMHf-1x7Y/edit?usp=sharing"",""แผน!LY75"")"),0)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IFERROR(__xludf.DUMMYFUNCTION("IMPORTRANGE(""https://docs.google.com/spreadsheets/d/1eHaY18a8A9IcSdp1K8H6x8fbOy06t2VsZHhMHf-1x7Y/edit?usp=sharing"",""แผน!AR75"")"),2500)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IFERROR(__xludf.DUMMYFUNCTION("IMPORTRANGE(""https://docs.google.com/spreadsheets/d/1eHaY18a8A9IcSdp1K8H6x8fbOy06t2VsZHhMHf-1x7Y/edit?usp=sharing"",""แผน!AS75"")"),6000)</f>
        <v>6000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IFERROR(__xludf.DUMMYFUNCTION("IMPORTRANGE(""https://docs.google.com/spreadsheets/d/1eHaY18a8A9IcSdp1K8H6x8fbOy06t2VsZHhMHf-1x7Y/edit?usp=sharing"",""แผน!AT75"")"),0)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IFERROR(__xludf.DUMMYFUNCTION("IMPORTRANGE(""https://docs.google.com/spreadsheets/d/1eHaY18a8A9IcSdp1K8H6x8fbOy06t2VsZHhMHf-1x7Y/edit?usp=sharing"",""แผน!AX75"")"),0)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IFERROR(__xludf.DUMMYFUNCTION("IMPORTRANGE(""https://docs.google.com/spreadsheets/d/1eHaY18a8A9IcSdp1K8H6x8fbOy06t2VsZHhMHf-1x7Y/edit?usp=sharing"",""แผน!AY75"")"),0)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IFERROR(__xludf.DUMMYFUNCTION("IMPORTRANGE(""https://docs.google.com/spreadsheets/d/1eHaY18a8A9IcSdp1K8H6x8fbOy06t2VsZHhMHf-1x7Y/edit?usp=sharing"",""แผน!AZ75"")"),0)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IFERROR(__xludf.DUMMYFUNCTION("IMPORTRANGE(""https://docs.google.com/spreadsheets/d/1eHaY18a8A9IcSdp1K8H6x8fbOy06t2VsZHhMHf-1x7Y/edit?usp=sharing"",""แผน!BA75"")"),0)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IFERROR(__xludf.DUMMYFUNCTION("IMPORTRANGE(""https://docs.google.com/spreadsheets/d/1eHaY18a8A9IcSdp1K8H6x8fbOy06t2VsZHhMHf-1x7Y/edit?usp=sharing"",""แผน!BG75"")"),0)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IFERROR(__xludf.DUMMYFUNCTION("IMPORTRANGE(""https://docs.google.com/spreadsheets/d/1eHaY18a8A9IcSdp1K8H6x8fbOy06t2VsZHhMHf-1x7Y/edit?usp=sharing"",""แผน!BB75"")"),0)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IFERROR(__xludf.DUMMYFUNCTION("IMPORTRANGE(""https://docs.google.com/spreadsheets/d/1eHaY18a8A9IcSdp1K8H6x8fbOy06t2VsZHhMHf-1x7Y/edit?usp=sharing"",""แผน!BC75"")"),0)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IFERROR(__xludf.DUMMYFUNCTION("IMPORTRANGE(""https://docs.google.com/spreadsheets/d/1eHaY18a8A9IcSdp1K8H6x8fbOy06t2VsZHhMHf-1x7Y/edit?usp=sharing"",""แผน!BD75"")"),0)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IFERROR(__xludf.DUMMYFUNCTION("IMPORTRANGE(""https://docs.google.com/spreadsheets/d/1eHaY18a8A9IcSdp1K8H6x8fbOy06t2VsZHhMHf-1x7Y/edit?usp=sharing"",""แผน!BE75"")"),0)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IFERROR(__xludf.DUMMYFUNCTION("IMPORTRANGE(""https://docs.google.com/spreadsheets/d/1eHaY18a8A9IcSdp1K8H6x8fbOy06t2VsZHhMHf-1x7Y/edit?usp=sharing"",""แผน!BH75"")"),0)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22</v>
      </c>
      <c r="K265" s="628">
        <f ca="1">IF(I265&gt;0,J265*100/I265,0)</f>
        <v>100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35430</v>
      </c>
      <c r="T266" s="624">
        <f t="shared" ref="T266:T274" ca="1" si="67">IF(Q266&gt;0,S266*100/Q266,0)</f>
        <v>69.936833793920258</v>
      </c>
      <c r="U266" s="624">
        <f t="shared" ref="U266:U274" ca="1" si="68">IF(R266&gt;0,S266*100/R266,0)</f>
        <v>69.936833793920258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35430</v>
      </c>
      <c r="T268" s="482">
        <f t="shared" ca="1" si="67"/>
        <v>69.936833793920258</v>
      </c>
      <c r="U268" s="482">
        <f t="shared" ca="1" si="68"/>
        <v>69.936833793920258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35430</v>
      </c>
      <c r="T269" s="482">
        <f t="shared" ca="1" si="67"/>
        <v>69.936833793920258</v>
      </c>
      <c r="U269" s="482">
        <f t="shared" ca="1" si="68"/>
        <v>69.936833793920258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IFERROR(__xludf.DUMMYFUNCTION("IMPORTRANGE(""https://docs.google.com/spreadsheets/d/1-uDff_7J0KD5mKrp0Vvzr7lt3OU09vwQwhkpOPPYv2Y/edit?usp=sharing"",""งบพรบ!DE75"")"),0)</f>
        <v>0</v>
      </c>
      <c r="M271" s="482">
        <f ca="1">IFERROR(__xludf.DUMMYFUNCTION("IMPORTRANGE(""https://docs.google.com/spreadsheets/d/1-uDff_7J0KD5mKrp0Vvzr7lt3OU09vwQwhkpOPPYv2Y/edit?usp=sharing"",""งบพรบ!DJ75"")"),5000)</f>
        <v>5000</v>
      </c>
      <c r="N271" s="482">
        <f ca="1">IFERROR(__xludf.DUMMYFUNCTION("IMPORTRANGE(""https://docs.google.com/spreadsheets/d/1-uDff_7J0KD5mKrp0Vvzr7lt3OU09vwQwhkpOPPYv2Y/edit?usp=sharing"",""งบพรบ!DL75"")"),0)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IFERROR(__xludf.DUMMYFUNCTION("IMPORTRANGE(""https://docs.google.com/spreadsheets/d/1ItG2mGa2ceCfYo0BwxsXqNm01IGEUdYcSSLTEv9YCik/edit?usp=sharing"",""เบิกจ่ายกองทุน!AJ75"")"),50660)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IFERROR(__xludf.DUMMYFUNCTION("IMPORTRANGE(""https://docs.google.com/spreadsheets/d/1ItG2mGa2ceCfYo0BwxsXqNm01IGEUdYcSSLTEv9YCik/edit?usp=sharing"",""เบิกจ่ายกองทุน!AK75"")"),50660)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IFERROR(__xludf.DUMMYFUNCTION("IMPORTRANGE(""https://docs.google.com/spreadsheets/d/1ItG2mGa2ceCfYo0BwxsXqNm01IGEUdYcSSLTEv9YCik/edit?usp=sharing"",""เบิกจ่ายกองทุน!AL75"")"),35430)</f>
        <v>35430</v>
      </c>
      <c r="T271" s="482">
        <f t="shared" ca="1" si="67"/>
        <v>69.936833793920258</v>
      </c>
      <c r="U271" s="482">
        <f t="shared" ca="1" si="68"/>
        <v>69.936833793920258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IFERROR(__xludf.DUMMYFUNCTION("IMPORTRANGE(""https://docs.google.com/spreadsheets/d/1-uDff_7J0KD5mKrp0Vvzr7lt3OU09vwQwhkpOPPYv2Y/edit?usp=sharing"",""งบพรบ!DH75"")"),0)</f>
        <v>0</v>
      </c>
      <c r="M274" s="482">
        <f ca="1">IFERROR(__xludf.DUMMYFUNCTION("IMPORTRANGE(""https://docs.google.com/spreadsheets/d/1-uDff_7J0KD5mKrp0Vvzr7lt3OU09vwQwhkpOPPYv2Y/edit?usp=sharing"",""งบพรบ!DK75"")"),0)</f>
        <v>0</v>
      </c>
      <c r="N274" s="482">
        <f ca="1">IFERROR(__xludf.DUMMYFUNCTION("IMPORTRANGE(""https://docs.google.com/spreadsheets/d/1-uDff_7J0KD5mKrp0Vvzr7lt3OU09vwQwhkpOPPYv2Y/edit?usp=sharing"",""งบพรบ!DM75"")"),0)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0</v>
      </c>
      <c r="R305" s="47">
        <f t="shared" ca="1" si="82"/>
        <v>0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IFERROR(__xludf.DUMMYFUNCTION("IMPORTRANGE(""https://docs.google.com/spreadsheets/d/1ItG2mGa2ceCfYo0BwxsXqNm01IGEUdYcSSLTEv9YCik/edit?usp=sharing"",""เบิกจ่ายกองทุน!AQ75"")"),0)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IFERROR(__xludf.DUMMYFUNCTION("IMPORTRANGE(""https://docs.google.com/spreadsheets/d/1ItG2mGa2ceCfYo0BwxsXqNm01IGEUdYcSSLTEv9YCik/edit?usp=sharing"",""เบิกจ่ายกองทุน!AR75"")"),0)</f>
        <v>0</v>
      </c>
      <c r="T308" s="47">
        <f t="shared" ca="1" si="79"/>
        <v>0</v>
      </c>
      <c r="U308" s="47">
        <f t="shared" ca="1" si="80"/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hidden="1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30000</v>
      </c>
      <c r="M320" s="132">
        <f ca="1">M321+M322</f>
        <v>90000</v>
      </c>
      <c r="N320" s="132">
        <f ca="1">N321+N322</f>
        <v>86050</v>
      </c>
      <c r="O320" s="132">
        <f t="shared" ref="O320:O328" ca="1" si="83">IF(L320&gt;0,N320*100/L320,0)</f>
        <v>286.83333333333331</v>
      </c>
      <c r="P320" s="132">
        <f t="shared" ref="P320:P328" ca="1" si="84">IF(M320&gt;0,N320*100/M320,0)</f>
        <v>95.611111111111114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30000</v>
      </c>
      <c r="M322" s="47">
        <f t="shared" ca="1" si="87"/>
        <v>90000</v>
      </c>
      <c r="N322" s="47">
        <f t="shared" ca="1" si="87"/>
        <v>86050</v>
      </c>
      <c r="O322" s="47">
        <f t="shared" ca="1" si="83"/>
        <v>286.83333333333331</v>
      </c>
      <c r="P322" s="47">
        <f t="shared" ca="1" si="84"/>
        <v>95.611111111111114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30000</v>
      </c>
      <c r="M323" s="47">
        <f ca="1">M324+M325</f>
        <v>90000</v>
      </c>
      <c r="N323" s="47">
        <f ca="1">N324+N325</f>
        <v>86050</v>
      </c>
      <c r="O323" s="47">
        <f t="shared" ca="1" si="83"/>
        <v>286.83333333333331</v>
      </c>
      <c r="P323" s="47">
        <f t="shared" ca="1" si="84"/>
        <v>95.611111111111114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IFERROR(__xludf.DUMMYFUNCTION("IMPORTRANGE(""https://docs.google.com/spreadsheets/d/1-uDff_7J0KD5mKrp0Vvzr7lt3OU09vwQwhkpOPPYv2Y/edit?usp=sharing"",""งบพรบ!EI75"")"),30000)</f>
        <v>30000</v>
      </c>
      <c r="M325" s="47">
        <f ca="1">IFERROR(__xludf.DUMMYFUNCTION("IMPORTRANGE(""https://docs.google.com/spreadsheets/d/1-uDff_7J0KD5mKrp0Vvzr7lt3OU09vwQwhkpOPPYv2Y/edit?usp=sharing"",""งบพรบ!EN75"")"),90000)</f>
        <v>90000</v>
      </c>
      <c r="N325" s="47">
        <f ca="1">IFERROR(__xludf.DUMMYFUNCTION("IMPORTRANGE(""https://docs.google.com/spreadsheets/d/1-uDff_7J0KD5mKrp0Vvzr7lt3OU09vwQwhkpOPPYv2Y/edit?usp=sharing"",""งบพรบ!EP75"")"),86050)</f>
        <v>86050</v>
      </c>
      <c r="O325" s="47">
        <f t="shared" ca="1" si="83"/>
        <v>286.83333333333331</v>
      </c>
      <c r="P325" s="47">
        <f t="shared" ca="1" si="84"/>
        <v>95.611111111111114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IFERROR(__xludf.DUMMYFUNCTION("IMPORTRANGE(""https://docs.google.com/spreadsheets/d/1eHaY18a8A9IcSdp1K8H6x8fbOy06t2VsZHhMHf-1x7Y/edit?usp=sharing"",""แผน!EJ75"")"),1)</f>
        <v>1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1340</v>
      </c>
      <c r="J332" s="596">
        <f ca="1">J344+J347+J348+J349+J353</f>
        <v>6237</v>
      </c>
      <c r="K332" s="595">
        <f ca="1">IF(I332&gt;0,J332*100/I332,0)</f>
        <v>465.44776119402985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106000</v>
      </c>
      <c r="M333" s="132">
        <f ca="1">M334+M335</f>
        <v>111000</v>
      </c>
      <c r="N333" s="132">
        <f ca="1">N334+N335</f>
        <v>81626.67</v>
      </c>
      <c r="O333" s="132">
        <f t="shared" ref="O333:O341" ca="1" si="89">IF(L333&gt;0,N333*100/L333,0)</f>
        <v>77.006292452830195</v>
      </c>
      <c r="P333" s="132">
        <f t="shared" ref="P333:P341" ca="1" si="90">IF(M333&gt;0,N333*100/M333,0)</f>
        <v>73.537540540540547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106000</v>
      </c>
      <c r="M335" s="47">
        <f t="shared" ca="1" si="93"/>
        <v>111000</v>
      </c>
      <c r="N335" s="47">
        <f t="shared" ca="1" si="93"/>
        <v>81626.67</v>
      </c>
      <c r="O335" s="47">
        <f t="shared" ca="1" si="89"/>
        <v>77.006292452830195</v>
      </c>
      <c r="P335" s="47">
        <f t="shared" ca="1" si="90"/>
        <v>73.537540540540547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106000</v>
      </c>
      <c r="M336" s="47">
        <f ca="1">M337+M338</f>
        <v>111000</v>
      </c>
      <c r="N336" s="47">
        <f ca="1">N337+N338</f>
        <v>81626.67</v>
      </c>
      <c r="O336" s="47">
        <f t="shared" ca="1" si="89"/>
        <v>77.006292452830195</v>
      </c>
      <c r="P336" s="47">
        <f t="shared" ca="1" si="90"/>
        <v>73.537540540540547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IFERROR(__xludf.DUMMYFUNCTION("IMPORTRANGE(""https://docs.google.com/spreadsheets/d/1-uDff_7J0KD5mKrp0Vvzr7lt3OU09vwQwhkpOPPYv2Y/edit?usp=sharing"",""งบพรบ!ES75"")"),106000)</f>
        <v>106000</v>
      </c>
      <c r="M338" s="47">
        <f ca="1">IFERROR(__xludf.DUMMYFUNCTION("IMPORTRANGE(""https://docs.google.com/spreadsheets/d/1-uDff_7J0KD5mKrp0Vvzr7lt3OU09vwQwhkpOPPYv2Y/edit?usp=sharing"",""งบพรบ!EX75"")"),111000)</f>
        <v>111000</v>
      </c>
      <c r="N338" s="47">
        <f ca="1">IFERROR(__xludf.DUMMYFUNCTION("IMPORTRANGE(""https://docs.google.com/spreadsheets/d/1-uDff_7J0KD5mKrp0Vvzr7lt3OU09vwQwhkpOPPYv2Y/edit?usp=sharing"",""งบพรบ!EZ75"")"),81626.67)</f>
        <v>81626.67</v>
      </c>
      <c r="O338" s="47">
        <f t="shared" ca="1" si="89"/>
        <v>77.006292452830195</v>
      </c>
      <c r="P338" s="47">
        <f t="shared" ca="1" si="90"/>
        <v>73.537540540540547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1602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IFERROR(__xludf.DUMMYFUNCTION("IMPORTRANGE(""https://docs.google.com/spreadsheets/d/1awYsYK3VOup2i3Pq_Yjnu8DRu_mYwSBnCR2QPthd0rU/edit?usp=sharing"",""ศูนย์ยกเว้นโฉนด!D75"")"),1532)</f>
        <v>1532</v>
      </c>
      <c r="K344" s="47">
        <f ca="1">IF(I344&gt;0,J344*100/I344,0)</f>
        <v>114.32835820895522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IFERROR(__xludf.DUMMYFUNCTION("IMPORTRANGE(""https://docs.google.com/spreadsheets/d/1awYsYK3VOup2i3Pq_Yjnu8DRu_mYwSBnCR2QPthd0rU/edit?usp=sharing"",""ศูนย์รวม!E75"")"),4)</f>
        <v>4</v>
      </c>
      <c r="K346" s="47">
        <f ca="1">IF(I346&gt;0,J346*100/I346,0)</f>
        <v>133.33333333333334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IFERROR(__xludf.DUMMYFUNCTION("IMPORTRANGE(""https://docs.google.com/spreadsheets/d/1awYsYK3VOup2i3Pq_Yjnu8DRu_mYwSBnCR2QPthd0rU/edit?usp=sharing"",""ศูนย์ยกเว้นโฉนด!G75"")"),43)</f>
        <v>43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4789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IFERROR(__xludf.DUMMYFUNCTION("IMPORTRANGE(""https://docs.google.com/spreadsheets/d/1awYsYK3VOup2i3Pq_Yjnu8DRu_mYwSBnCR2QPthd0rU/edit?usp=sharing"",""โฉนดM3!G75"")"),154)</f>
        <v>154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IFERROR(__xludf.DUMMYFUNCTION("IMPORTRANGE(""https://docs.google.com/spreadsheets/d/1awYsYK3VOup2i3Pq_Yjnu8DRu_mYwSBnCR2QPthd0rU/edit?usp=sharing"",""โฉนดM3!H75"")"),4635)</f>
        <v>4635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584350</v>
      </c>
      <c r="M356" s="132">
        <f ca="1">M357+M358</f>
        <v>647150</v>
      </c>
      <c r="N356" s="132">
        <f ca="1">N357+N358</f>
        <v>464232.23</v>
      </c>
      <c r="O356" s="132">
        <f t="shared" ref="O356:O364" ca="1" si="95">IF(L356&gt;0,N356*100/L356,0)</f>
        <v>79.444208094463932</v>
      </c>
      <c r="P356" s="132">
        <f t="shared" ref="P356:P364" ca="1" si="96">IF(M356&gt;0,N356*100/M356,0)</f>
        <v>71.734872904272578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584350</v>
      </c>
      <c r="M358" s="47">
        <f t="shared" ca="1" si="99"/>
        <v>647150</v>
      </c>
      <c r="N358" s="47">
        <f t="shared" ca="1" si="99"/>
        <v>464232.23</v>
      </c>
      <c r="O358" s="47">
        <f t="shared" ca="1" si="95"/>
        <v>79.444208094463932</v>
      </c>
      <c r="P358" s="47">
        <f t="shared" ca="1" si="96"/>
        <v>71.734872904272578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584350</v>
      </c>
      <c r="M359" s="47">
        <f ca="1">M360+M361</f>
        <v>647150</v>
      </c>
      <c r="N359" s="47">
        <f ca="1">N360+N361</f>
        <v>464232.23</v>
      </c>
      <c r="O359" s="47">
        <f t="shared" ca="1" si="95"/>
        <v>79.444208094463932</v>
      </c>
      <c r="P359" s="47">
        <f t="shared" ca="1" si="96"/>
        <v>71.734872904272578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IFERROR(__xludf.DUMMYFUNCTION("IMPORTRANGE(""https://docs.google.com/spreadsheets/d/1-uDff_7J0KD5mKrp0Vvzr7lt3OU09vwQwhkpOPPYv2Y/edit?usp=sharing"",""งบพรบ!FC75"")"),584350)</f>
        <v>584350</v>
      </c>
      <c r="M361" s="47">
        <f ca="1">IFERROR(__xludf.DUMMYFUNCTION("IMPORTRANGE(""https://docs.google.com/spreadsheets/d/1-uDff_7J0KD5mKrp0Vvzr7lt3OU09vwQwhkpOPPYv2Y/edit?usp=sharing"",""งบพรบ!FH75"")"),647150)</f>
        <v>647150</v>
      </c>
      <c r="N361" s="47">
        <f ca="1">IFERROR(__xludf.DUMMYFUNCTION("IMPORTRANGE(""https://docs.google.com/spreadsheets/d/1-uDff_7J0KD5mKrp0Vvzr7lt3OU09vwQwhkpOPPYv2Y/edit?usp=sharing"",""งบพรบ!FJ75"")"),464232.23)</f>
        <v>464232.23</v>
      </c>
      <c r="O361" s="47">
        <f t="shared" ca="1" si="95"/>
        <v>79.444208094463932</v>
      </c>
      <c r="P361" s="47">
        <f t="shared" ca="1" si="96"/>
        <v>71.734872904272578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305</v>
      </c>
      <c r="J365" s="228">
        <f ca="1">J371</f>
        <v>253</v>
      </c>
      <c r="K365" s="229">
        <f ca="1">IF(I365&gt;0,J365*100/I365,0)</f>
        <v>82.950819672131146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IFERROR(__xludf.DUMMYFUNCTION("IMPORTRANGE(""https://docs.google.com/spreadsheets/d/1tdoBKaGub7dwA3U6UFTqxio9LNnvDCQjHKmttSEBsFQ/edit?usp=sharing"",""จัดที่ดิน!AB75"")"),166)</f>
        <v>166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IFERROR(__xludf.DUMMYFUNCTION("IMPORTRANGE(""https://docs.google.com/spreadsheets/d/1eHaY18a8A9IcSdp1K8H6x8fbOy06t2VsZHhMHf-1x7Y/edit?usp=sharing"",""แผน!EW75"")"),800)</f>
        <v>800</v>
      </c>
      <c r="J368" s="584">
        <f ca="1">IFERROR(__xludf.DUMMYFUNCTION("IMPORTRANGE(""https://docs.google.com/spreadsheets/d/1tdoBKaGub7dwA3U6UFTqxio9LNnvDCQjHKmttSEBsFQ/edit?usp=sharing"",""จัดที่ดิน!AC75"")"),1749.4)</f>
        <v>1749.4</v>
      </c>
      <c r="K368" s="47">
        <f t="shared" ca="1" si="101"/>
        <v>218.67500000000001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IFERROR(__xludf.DUMMYFUNCTION("IMPORTRANGE(""https://docs.google.com/spreadsheets/d/1eHaY18a8A9IcSdp1K8H6x8fbOy06t2VsZHhMHf-1x7Y/edit?usp=sharing"",""แผน!EX75"")"),305)</f>
        <v>305</v>
      </c>
      <c r="J369" s="152">
        <f ca="1">IFERROR(__xludf.DUMMYFUNCTION("IMPORTRANGE(""https://docs.google.com/spreadsheets/d/1tdoBKaGub7dwA3U6UFTqxio9LNnvDCQjHKmttSEBsFQ/edit?usp=sharing"",""จัดที่ดิน!AD75"")"),398)</f>
        <v>398</v>
      </c>
      <c r="K369" s="47">
        <f t="shared" ca="1" si="101"/>
        <v>130.49180327868854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IFERROR(__xludf.DUMMYFUNCTION("IMPORTRANGE(""https://docs.google.com/spreadsheets/d/1tdoBKaGub7dwA3U6UFTqxio9LNnvDCQjHKmttSEBsFQ/edit?usp=sharing"",""จัดที่ดิน!AE75"")"),6175.81)</f>
        <v>6175.81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IFERROR(__xludf.DUMMYFUNCTION("IMPORTRANGE(""https://docs.google.com/spreadsheets/d/1eHaY18a8A9IcSdp1K8H6x8fbOy06t2VsZHhMHf-1x7Y/edit?usp=sharing"",""แผน!EY75"")"),305)</f>
        <v>305</v>
      </c>
      <c r="J371" s="152">
        <f ca="1">IFERROR(__xludf.DUMMYFUNCTION("IMPORTRANGE(""https://docs.google.com/spreadsheets/d/1tdoBKaGub7dwA3U6UFTqxio9LNnvDCQjHKmttSEBsFQ/edit?usp=sharing"",""จัดที่ดิน!AF75"")"),253)</f>
        <v>253</v>
      </c>
      <c r="K371" s="47">
        <f t="shared" ca="1" si="101"/>
        <v>82.950819672131146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IFERROR(__xludf.DUMMYFUNCTION("IMPORTRANGE(""https://docs.google.com/spreadsheets/d/1tdoBKaGub7dwA3U6UFTqxio9LNnvDCQjHKmttSEBsFQ/edit?usp=sharing"",""จัดที่ดิน!AG75"")"),3796.71)</f>
        <v>3796.71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IFERROR(__xludf.DUMMYFUNCTION("IMPORTRANGE(""https://docs.google.com/spreadsheets/d/1ItG2mGa2ceCfYo0BwxsXqNm01IGEUdYcSSLTEv9YCik/edit?usp=sharing"",""เบิกจ่ายกองทุน!AZ75"")"),0)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IFERROR(__xludf.DUMMYFUNCTION("IMPORTRANGE(""https://docs.google.com/spreadsheets/d/1ItG2mGa2ceCfYo0BwxsXqNm01IGEUdYcSSLTEv9YCik/edit?usp=sharing"",""เบิกจ่ายกองทุน!BA75"")"),0)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IFERROR(__xludf.DUMMYFUNCTION("IMPORTRANGE(""https://docs.google.com/spreadsheets/d/1w5rwWK1o49a35cNtocGL0gxDwhFSTZUQu90BiH9_zqM/edit?usp=sharing"",""RTK!L75"")"),0)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IFERROR(__xludf.DUMMYFUNCTION("IMPORTRANGE(""https://docs.google.com/spreadsheets/d/1w5rwWK1o49a35cNtocGL0gxDwhFSTZUQu90BiH9_zqM/edit?usp=sharing"",""RTK!K75"")"),0)</f>
        <v>0</v>
      </c>
      <c r="J388" s="483">
        <f ca="1">IFERROR(__xludf.DUMMYFUNCTION("IMPORTRANGE(""https://docs.google.com/spreadsheets/d/1w5rwWK1o49a35cNtocGL0gxDwhFSTZUQu90BiH9_zqM/edit?usp=sharing"",""RTK!M75"")"),0)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IFERROR(__xludf.DUMMYFUNCTION("IMPORTRANGE(""https://docs.google.com/spreadsheets/d/1ItG2mGa2ceCfYo0BwxsXqNm01IGEUdYcSSLTEv9YCik/edit?usp=sharing"",""เบิกจ่ายกองทุน!BH75"")"),0)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IFERROR(__xludf.DUMMYFUNCTION("IMPORTRANGE(""https://docs.google.com/spreadsheets/d/1ItG2mGa2ceCfYo0BwxsXqNm01IGEUdYcSSLTEv9YCik/edit?usp=sharing"",""เบิกจ่ายกองทุน!BI75"")"),0)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IFERROR(__xludf.DUMMYFUNCTION("IMPORTRANGE(""https://docs.google.com/spreadsheets/d/1ItG2mGa2ceCfYo0BwxsXqNm01IGEUdYcSSLTEv9YCik/edit?usp=sharing"",""เบิกจ่ายกองทุน!BJ75"")"),0)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IFERROR(__xludf.DUMMYFUNCTION("IMPORTRANGE(""https://docs.google.com/spreadsheets/d/1eHaY18a8A9IcSdp1K8H6x8fbOy06t2VsZHhMHf-1x7Y/edit?usp=sharing"",""แผน!HN75"")"),0)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IFERROR(__xludf.DUMMYFUNCTION("IMPORTRANGE(""https://docs.google.com/spreadsheets/d/1eHaY18a8A9IcSdp1K8H6x8fbOy06t2VsZHhMHf-1x7Y/edit?usp=sharing"",""แผน!HO75"")"),0)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100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1169450</v>
      </c>
      <c r="R493" s="132">
        <f ca="1">R494+R495</f>
        <v>1169450</v>
      </c>
      <c r="S493" s="132">
        <f ca="1">S494+S495</f>
        <v>26546.59</v>
      </c>
      <c r="T493" s="132">
        <f t="shared" ref="T493:T501" ca="1" si="122">IF(Q493&gt;0,S493*100/Q493,0)</f>
        <v>2.2700064132711959</v>
      </c>
      <c r="U493" s="132">
        <f t="shared" ref="U493:U501" ca="1" si="123">IF(R493&gt;0,S493*100/R493,0)</f>
        <v>2.2700064132711959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1169450</v>
      </c>
      <c r="R495" s="47">
        <f t="shared" ca="1" si="125"/>
        <v>1169450</v>
      </c>
      <c r="S495" s="47">
        <f t="shared" ca="1" si="125"/>
        <v>26546.59</v>
      </c>
      <c r="T495" s="47">
        <f t="shared" ca="1" si="122"/>
        <v>2.2700064132711959</v>
      </c>
      <c r="U495" s="47">
        <f t="shared" ca="1" si="123"/>
        <v>2.2700064132711959</v>
      </c>
    </row>
    <row r="496" spans="1:21" ht="18.75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1169450</v>
      </c>
      <c r="R496" s="47">
        <f ca="1">R497+R498</f>
        <v>1169450</v>
      </c>
      <c r="S496" s="47">
        <f ca="1">S497+S498</f>
        <v>26546.59</v>
      </c>
      <c r="T496" s="47">
        <f t="shared" ca="1" si="122"/>
        <v>2.2700064132711959</v>
      </c>
      <c r="U496" s="47">
        <f t="shared" ca="1" si="123"/>
        <v>2.2700064132711959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IFERROR(__xludf.DUMMYFUNCTION("IMPORTRANGE(""https://docs.google.com/spreadsheets/d/1ItG2mGa2ceCfYo0BwxsXqNm01IGEUdYcSSLTEv9YCik/edit?usp=sharing"",""เบิกจ่ายกองทุน!Y75"")"),1169450)</f>
        <v>1169450</v>
      </c>
      <c r="S498" s="47">
        <f ca="1">IFERROR(__xludf.DUMMYFUNCTION("IMPORTRANGE(""https://docs.google.com/spreadsheets/d/1ItG2mGa2ceCfYo0BwxsXqNm01IGEUdYcSSLTEv9YCik/edit?usp=sharing"",""เบิกจ่ายกองทุน!Z75"")"),26546.59)</f>
        <v>26546.59</v>
      </c>
      <c r="T498" s="47">
        <f t="shared" ca="1" si="122"/>
        <v>2.2700064132711959</v>
      </c>
      <c r="U498" s="47">
        <f t="shared" ca="1" si="123"/>
        <v>2.2700064132711959</v>
      </c>
    </row>
    <row r="499" spans="1:21" ht="18.75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 ca="1">IF(AND(J504=I503,J505=I503,J506=I503,J507=I503),I503,0)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568" t="s">
        <v>205</v>
      </c>
      <c r="B510" s="567"/>
      <c r="C510" s="567"/>
      <c r="D510" s="567"/>
      <c r="E510" s="566"/>
      <c r="F510" s="566"/>
      <c r="G510" s="566"/>
      <c r="H510" s="566"/>
      <c r="I510" s="565"/>
      <c r="J510" s="565"/>
      <c r="K510" s="564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x14ac:dyDescent="0.3">
      <c r="A511" s="562" t="s">
        <v>206</v>
      </c>
      <c r="B511" s="560"/>
      <c r="C511" s="560"/>
      <c r="D511" s="561"/>
      <c r="E511" s="560"/>
      <c r="F511" s="560"/>
      <c r="G511" s="560"/>
      <c r="H511" s="559"/>
      <c r="I511" s="558"/>
      <c r="J511" s="558"/>
      <c r="K511" s="557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x14ac:dyDescent="0.3">
      <c r="A512" s="555"/>
      <c r="B512" s="554" t="s">
        <v>207</v>
      </c>
      <c r="C512" s="553"/>
      <c r="D512" s="552"/>
      <c r="E512" s="552"/>
      <c r="F512" s="552"/>
      <c r="G512" s="551"/>
      <c r="H512" s="550" t="s">
        <v>61</v>
      </c>
      <c r="I512" s="549">
        <f>I524</f>
        <v>0</v>
      </c>
      <c r="J512" s="549">
        <f>J524</f>
        <v>0</v>
      </c>
      <c r="K512" s="548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x14ac:dyDescent="0.3">
      <c r="A513" s="536"/>
      <c r="B513" s="525"/>
      <c r="C513" s="532" t="s">
        <v>18</v>
      </c>
      <c r="D513" s="547" t="s">
        <v>19</v>
      </c>
      <c r="E513" s="525"/>
      <c r="F513" s="525"/>
      <c r="G513" s="524"/>
      <c r="H513" s="546" t="s">
        <v>14</v>
      </c>
      <c r="I513" s="475"/>
      <c r="J513" s="475"/>
      <c r="K513" s="472"/>
      <c r="L513" s="469">
        <f ca="1">L514+L515</f>
        <v>12445400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541"/>
      <c r="B514" s="540"/>
      <c r="C514" s="540"/>
      <c r="D514" s="540"/>
      <c r="E514" s="157" t="s">
        <v>20</v>
      </c>
      <c r="F514" s="540"/>
      <c r="G514" s="539"/>
      <c r="H514" s="158" t="s">
        <v>14</v>
      </c>
      <c r="I514" s="545"/>
      <c r="J514" s="545"/>
      <c r="K514" s="544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536"/>
      <c r="B515" s="525"/>
      <c r="C515" s="525"/>
      <c r="D515" s="525"/>
      <c r="E515" s="535" t="s">
        <v>21</v>
      </c>
      <c r="F515" s="525"/>
      <c r="G515" s="524"/>
      <c r="H515" s="476" t="s">
        <v>14</v>
      </c>
      <c r="I515" s="475"/>
      <c r="J515" s="475"/>
      <c r="K515" s="472"/>
      <c r="L515" s="467">
        <f t="shared" ca="1" si="131"/>
        <v>12445400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x14ac:dyDescent="0.25">
      <c r="A516" s="536"/>
      <c r="B516" s="525"/>
      <c r="C516" s="525"/>
      <c r="D516" s="542" t="s">
        <v>22</v>
      </c>
      <c r="E516" s="525"/>
      <c r="F516" s="525"/>
      <c r="G516" s="524"/>
      <c r="H516" s="543" t="s">
        <v>14</v>
      </c>
      <c r="I516" s="528"/>
      <c r="J516" s="528"/>
      <c r="K516" s="533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541"/>
      <c r="B517" s="540"/>
      <c r="C517" s="540"/>
      <c r="D517" s="540"/>
      <c r="E517" s="157" t="s">
        <v>36</v>
      </c>
      <c r="F517" s="540"/>
      <c r="G517" s="539"/>
      <c r="H517" s="160" t="s">
        <v>14</v>
      </c>
      <c r="I517" s="538"/>
      <c r="J517" s="538"/>
      <c r="K517" s="537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536"/>
      <c r="B518" s="525"/>
      <c r="C518" s="525"/>
      <c r="D518" s="525"/>
      <c r="E518" s="535" t="s">
        <v>37</v>
      </c>
      <c r="F518" s="525"/>
      <c r="G518" s="524"/>
      <c r="H518" s="543" t="s">
        <v>14</v>
      </c>
      <c r="I518" s="528"/>
      <c r="J518" s="528"/>
      <c r="K518" s="533"/>
      <c r="L518" s="467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x14ac:dyDescent="0.25">
      <c r="A519" s="536"/>
      <c r="B519" s="525"/>
      <c r="C519" s="525"/>
      <c r="D519" s="542" t="s">
        <v>23</v>
      </c>
      <c r="E519" s="525"/>
      <c r="F519" s="525"/>
      <c r="G519" s="524"/>
      <c r="H519" s="534" t="s">
        <v>14</v>
      </c>
      <c r="I519" s="528"/>
      <c r="J519" s="528"/>
      <c r="K519" s="533"/>
      <c r="L519" s="467">
        <f ca="1">L520+L521</f>
        <v>12445400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541"/>
      <c r="B520" s="540"/>
      <c r="C520" s="540"/>
      <c r="D520" s="540"/>
      <c r="E520" s="157" t="s">
        <v>20</v>
      </c>
      <c r="F520" s="540"/>
      <c r="G520" s="539"/>
      <c r="H520" s="160" t="s">
        <v>14</v>
      </c>
      <c r="I520" s="538"/>
      <c r="J520" s="538"/>
      <c r="K520" s="537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536"/>
      <c r="B521" s="525"/>
      <c r="C521" s="525"/>
      <c r="D521" s="525"/>
      <c r="E521" s="535" t="s">
        <v>21</v>
      </c>
      <c r="F521" s="525"/>
      <c r="G521" s="524"/>
      <c r="H521" s="534" t="s">
        <v>14</v>
      </c>
      <c r="I521" s="528"/>
      <c r="J521" s="528"/>
      <c r="K521" s="533"/>
      <c r="L521" s="467">
        <f ca="1">IFERROR(__xludf.DUMMYFUNCTION("IMPORTRANGE(""https://docs.google.com/spreadsheets/d/1-uDff_7J0KD5mKrp0Vvzr7lt3OU09vwQwhkpOPPYv2Y/edit?usp=sharing"",""งบพรบ!FP75"")"),12445400)</f>
        <v>12445400</v>
      </c>
      <c r="M521" s="47">
        <f ca="1">IFERROR(__xludf.DUMMYFUNCTION("IMPORTRANGE(""https://docs.google.com/spreadsheets/d/1-uDff_7J0KD5mKrp0Vvzr7lt3OU09vwQwhkpOPPYv2Y/edit?usp=sharing"",""งบพรบ!FS75"")"),0)</f>
        <v>0</v>
      </c>
      <c r="N521" s="47">
        <f ca="1">IFERROR(__xludf.DUMMYFUNCTION("IMPORTRANGE(""https://docs.google.com/spreadsheets/d/1-uDff_7J0KD5mKrp0Vvzr7lt3OU09vwQwhkpOPPYv2Y/edit?usp=sharing"",""งบพรบ!FU75"")"),0)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x14ac:dyDescent="0.3">
      <c r="A522" s="481"/>
      <c r="B522" s="480"/>
      <c r="C522" s="532" t="s">
        <v>18</v>
      </c>
      <c r="D522" s="531" t="s">
        <v>38</v>
      </c>
      <c r="E522" s="530"/>
      <c r="F522" s="530"/>
      <c r="G522" s="529"/>
      <c r="H522" s="477"/>
      <c r="I522" s="528"/>
      <c r="J522" s="475"/>
      <c r="K522" s="472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527"/>
      <c r="B523" s="525"/>
      <c r="C523" s="526"/>
      <c r="D523" s="478" t="s">
        <v>208</v>
      </c>
      <c r="E523" s="480"/>
      <c r="F523" s="525"/>
      <c r="G523" s="524"/>
      <c r="H523" s="523" t="s">
        <v>11</v>
      </c>
      <c r="I523" s="483">
        <v>0</v>
      </c>
      <c r="J523" s="474">
        <v>0</v>
      </c>
      <c r="K523" s="482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522"/>
      <c r="B524" s="518"/>
      <c r="C524" s="521"/>
      <c r="D524" s="520" t="s">
        <v>209</v>
      </c>
      <c r="E524" s="519"/>
      <c r="F524" s="518"/>
      <c r="G524" s="517"/>
      <c r="H524" s="516" t="s">
        <v>61</v>
      </c>
      <c r="I524" s="515">
        <v>0</v>
      </c>
      <c r="J524" s="514">
        <v>0</v>
      </c>
      <c r="K524" s="513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t="shared" ref="T616:T624" ca="1" si="159">IF(Q616&gt;0,S616*100/Q616,0)</f>
        <v>52.5</v>
      </c>
      <c r="U616" s="132">
        <f t="shared" ref="U616:U624" ca="1" si="160">IF(R616&gt;0,S616*100/R616,0)</f>
        <v>52.5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1800</v>
      </c>
      <c r="R618" s="47">
        <f t="shared" ca="1" si="162"/>
        <v>1800</v>
      </c>
      <c r="S618" s="47">
        <f t="shared" ca="1" si="162"/>
        <v>945</v>
      </c>
      <c r="T618" s="47">
        <f t="shared" ca="1" si="159"/>
        <v>52.5</v>
      </c>
      <c r="U618" s="47">
        <f t="shared" ca="1" si="160"/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t="shared" ca="1" si="159"/>
        <v>52.5</v>
      </c>
      <c r="U619" s="47">
        <f t="shared" ca="1" si="160"/>
        <v>52.5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t="shared" ca="1" si="159"/>
        <v>52.5</v>
      </c>
      <c r="U621" s="47">
        <f t="shared" ca="1" si="160"/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79150</v>
      </c>
      <c r="R692" s="47">
        <f t="shared" ca="1" si="174"/>
        <v>79150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t="shared" ca="1" si="175"/>
        <v>220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IFERROR(__xludf.DUMMYFUNCTION("IMPORTRANGE(""https://docs.google.com/spreadsheets/d/1eHaY18a8A9IcSdp1K8H6x8fbOy06t2VsZHhMHf-1x7Y/edit?usp=sharing"",""แผน!GA75"")"),16)</f>
        <v>16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IFERROR(__xludf.DUMMYFUNCTION("IMPORTRANGE(""https://docs.google.com/spreadsheets/d/1eHaY18a8A9IcSdp1K8H6x8fbOy06t2VsZHhMHf-1x7Y/edit?usp=sharing"",""แผน!FZ75"")"),150)</f>
        <v>150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46415</v>
      </c>
      <c r="T728" s="132">
        <f t="shared" ref="T728:T736" ca="1" si="184">IF(Q728&gt;0,S728*100/Q728,0)</f>
        <v>32.358928596327331</v>
      </c>
      <c r="U728" s="132">
        <f t="shared" ref="U728:U736" ca="1" si="185">IF(R728&gt;0,S728*100/R728,0)</f>
        <v>26.396455828660471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143438</v>
      </c>
      <c r="R730" s="47">
        <f t="shared" ca="1" si="187"/>
        <v>175838</v>
      </c>
      <c r="S730" s="47">
        <f t="shared" ca="1" si="187"/>
        <v>46415</v>
      </c>
      <c r="T730" s="47">
        <f t="shared" ca="1" si="184"/>
        <v>32.358928596327331</v>
      </c>
      <c r="U730" s="47">
        <f t="shared" ca="1" si="185"/>
        <v>26.396455828660471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46415</v>
      </c>
      <c r="T731" s="47">
        <f t="shared" ca="1" si="184"/>
        <v>32.358928596327331</v>
      </c>
      <c r="U731" s="47">
        <f t="shared" ca="1" si="185"/>
        <v>26.396455828660471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IFERROR(__xludf.DUMMYFUNCTION("IMPORTRANGE(""https://docs.google.com/spreadsheets/d/1ItG2mGa2ceCfYo0BwxsXqNm01IGEUdYcSSLTEv9YCik/edit?usp=sharing"",""เบิกจ่ายกองทุน!Q75"")"),46415)</f>
        <v>46415</v>
      </c>
      <c r="T733" s="47">
        <f t="shared" ca="1" si="184"/>
        <v>32.358928596327331</v>
      </c>
      <c r="U733" s="47">
        <f t="shared" ca="1" si="185"/>
        <v>26.396455828660471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IFERROR(__xludf.DUMMYFUNCTION("IMPORTRANGE(""https://docs.google.com/spreadsheets/d/1eHaY18a8A9IcSdp1K8H6x8fbOy06t2VsZHhMHf-1x7Y/edit?usp=sharing"",""แผน!GB75"")"),120)</f>
        <v>120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IFERROR(__xludf.DUMMYFUNCTION("IMPORTRANGE(""https://docs.google.com/spreadsheets/d/1eHaY18a8A9IcSdp1K8H6x8fbOy06t2VsZHhMHf-1x7Y/edit?usp=sharing"",""แผน!GC75"")"),12)</f>
        <v>12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IFERROR(__xludf.DUMMYFUNCTION("IMPORTRANGE(""https://docs.google.com/spreadsheets/d/1eHaY18a8A9IcSdp1K8H6x8fbOy06t2VsZHhMHf-1x7Y/edit?usp=sharing"",""แผน!GD75"")"),30)</f>
        <v>30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IFERROR(__xludf.DUMMYFUNCTION("IMPORTRANGE(""https://docs.google.com/spreadsheets/d/1eHaY18a8A9IcSdp1K8H6x8fbOy06t2VsZHhMHf-1x7Y/edit?usp=sharing"",""แผน!GE75"")"),3)</f>
        <v>3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IFERROR(__xludf.DUMMYFUNCTION("IMPORTRANGE(""https://docs.google.com/spreadsheets/d/1eHaY18a8A9IcSdp1K8H6x8fbOy06t2VsZHhMHf-1x7Y/edit?usp=sharing"",""แผน!GF75"")"),1)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IFERROR(__xludf.DUMMYFUNCTION("IMPORTRANGE(""https://docs.google.com/spreadsheets/d/1eHaY18a8A9IcSdp1K8H6x8fbOy06t2VsZHhMHf-1x7Y/edit?usp=sharing"",""แผน!GB75"")"),120)</f>
        <v>120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IFERROR(__xludf.DUMMYFUNCTION("IMPORTRANGE(""https://docs.google.com/spreadsheets/d/1eHaY18a8A9IcSdp1K8H6x8fbOy06t2VsZHhMHf-1x7Y/edit?usp=sharing"",""แผน!GD75"")"),30)</f>
        <v>30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15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45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134510</v>
      </c>
      <c r="R762" s="47">
        <f t="shared" ca="1" si="193"/>
        <v>134510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IFERROR(__xludf.DUMMYFUNCTION("IMPORTRANGE(""https://docs.google.com/spreadsheets/d/1ItG2mGa2ceCfYo0BwxsXqNm01IGEUdYcSSLTEv9YCik/edit?usp=sharing"",""เบิกจ่ายกองทุน!V75"")"),134510)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IFERROR(__xludf.DUMMYFUNCTION("IMPORTRANGE(""https://docs.google.com/spreadsheets/d/1ItG2mGa2ceCfYo0BwxsXqNm01IGEUdYcSSLTEv9YCik/edit?usp=sharing"",""เบิกจ่ายกองทุน!W75"")"),0)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IFERROR(__xludf.DUMMYFUNCTION("IMPORTRANGE(""https://docs.google.com/spreadsheets/d/1eHaY18a8A9IcSdp1K8H6x8fbOy06t2VsZHhMHf-1x7Y/edit?usp=sharing"",""แผน!FI75"")"),0)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IFERROR(__xludf.DUMMYFUNCTION("IMPORTRANGE(""https://docs.google.com/spreadsheets/d/10OvvATaaLtwErnr3qtWFcTmtbfpFEt5Bsqel9sXx0uE/edit?usp=sharing"",""งานกองทุน!F75"")"),165526.11)</f>
        <v>165526.10999999999</v>
      </c>
      <c r="K778" s="47">
        <f t="shared" ref="K778:K785" ca="1" si="194">IF(I778&gt;0,J778*100/I778,0)</f>
        <v>83.330439462735839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IFERROR(__xludf.DUMMYFUNCTION("IMPORTRANGE(""https://docs.google.com/spreadsheets/d/10OvvATaaLtwErnr3qtWFcTmtbfpFEt5Bsqel9sXx0uE/edit?usp=sharing"",""งานกองทุน!E75"")"),17)</f>
        <v>17</v>
      </c>
      <c r="K779" s="47">
        <f t="shared" ca="1" si="194"/>
        <v>94.444444444444443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IFERROR(__xludf.DUMMYFUNCTION("IMPORTRANGE(""https://docs.google.com/spreadsheets/d/10OvvATaaLtwErnr3qtWFcTmtbfpFEt5Bsqel9sXx0uE/edit?usp=sharing"",""งานกองทุน!K75"")"),593545.58)</f>
        <v>593545.57999999996</v>
      </c>
      <c r="K780" s="47">
        <f t="shared" ca="1" si="194"/>
        <v>21.849940507567496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IFERROR(__xludf.DUMMYFUNCTION("IMPORTRANGE(""https://docs.google.com/spreadsheets/d/10OvvATaaLtwErnr3qtWFcTmtbfpFEt5Bsqel9sXx0uE/edit?usp=sharing"",""งานกองทุน!J75"")"),64)</f>
        <v>64</v>
      </c>
      <c r="K781" s="47">
        <f t="shared" ca="1" si="194"/>
        <v>71.111111111111114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IFERROR(__xludf.DUMMYFUNCTION("IMPORTRANGE(""https://docs.google.com/spreadsheets/d/10OvvATaaLtwErnr3qtWFcTmtbfpFEt5Bsqel9sXx0uE/edit?usp=sharing"",""งานกองทุน!P75"")"),14234.57)</f>
        <v>14234.57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IFERROR(__xludf.DUMMYFUNCTION("IMPORTRANGE(""https://docs.google.com/spreadsheets/d/10OvvATaaLtwErnr3qtWFcTmtbfpFEt5Bsqel9sXx0uE/edit?usp=sharing"",""งานกองทุน!O75"")"),6)</f>
        <v>6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t="shared" ca="1" si="194"/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t="shared" ca="1" si="194"/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5C85E-1D31-4165-8E31-F3AB6ED657BE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312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1749580</v>
      </c>
      <c r="M18" s="35">
        <f ca="1">M19+M20</f>
        <v>1859816</v>
      </c>
      <c r="N18" s="35">
        <f ca="1">N19+N20</f>
        <v>1409756.89</v>
      </c>
      <c r="O18" s="35">
        <f t="shared" ref="O18:O26" ca="1" si="0">IF(L18&gt;0,N18*100/L18,0)</f>
        <v>80.576875021433722</v>
      </c>
      <c r="P18" s="35">
        <f t="shared" ref="P18:P26" ca="1" si="1">IF(M18&gt;0,N18*100/M18,0)</f>
        <v>75.800879764449817</v>
      </c>
      <c r="Q18" s="35">
        <f ca="1">Q19+Q20</f>
        <v>2588767.39</v>
      </c>
      <c r="R18" s="35">
        <f ca="1">R19+R20</f>
        <v>2613267</v>
      </c>
      <c r="S18" s="35">
        <f ca="1">S19+S20</f>
        <v>275891</v>
      </c>
      <c r="T18" s="35">
        <f t="shared" ref="T18:T26" ca="1" si="2">IF(Q18&gt;0,S18*100/Q18,0)</f>
        <v>10.657234059179029</v>
      </c>
      <c r="U18" s="35">
        <f t="shared" ref="U18:U26" ca="1" si="3">IF(R18&gt;0,S18*100/R18,0)</f>
        <v>10.557321544258585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1749580</v>
      </c>
      <c r="M20" s="39">
        <f t="shared" ca="1" si="4"/>
        <v>1859816</v>
      </c>
      <c r="N20" s="39">
        <f t="shared" ca="1" si="4"/>
        <v>1409756.89</v>
      </c>
      <c r="O20" s="39">
        <f t="shared" ca="1" si="0"/>
        <v>80.576875021433722</v>
      </c>
      <c r="P20" s="39">
        <f t="shared" ca="1" si="1"/>
        <v>75.800879764449817</v>
      </c>
      <c r="Q20" s="39">
        <f t="shared" ca="1" si="5"/>
        <v>2588767.39</v>
      </c>
      <c r="R20" s="39">
        <f t="shared" ca="1" si="5"/>
        <v>2613267</v>
      </c>
      <c r="S20" s="39">
        <f t="shared" ca="1" si="5"/>
        <v>275891</v>
      </c>
      <c r="T20" s="39">
        <f t="shared" ca="1" si="2"/>
        <v>10.657234059179029</v>
      </c>
      <c r="U20" s="39">
        <f t="shared" ca="1" si="3"/>
        <v>10.557321544258585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1749580</v>
      </c>
      <c r="M21" s="47">
        <f ca="1">M22+M23</f>
        <v>1859816</v>
      </c>
      <c r="N21" s="47">
        <f ca="1">N22+N23</f>
        <v>1409756.89</v>
      </c>
      <c r="O21" s="47">
        <f t="shared" ca="1" si="0"/>
        <v>80.576875021433722</v>
      </c>
      <c r="P21" s="47">
        <f t="shared" ca="1" si="1"/>
        <v>75.800879764449817</v>
      </c>
      <c r="Q21" s="47">
        <f ca="1">Q22+Q23</f>
        <v>2588767.39</v>
      </c>
      <c r="R21" s="47">
        <f ca="1">R22+R23</f>
        <v>2613267</v>
      </c>
      <c r="S21" s="47">
        <f ca="1">S22+S23</f>
        <v>275891</v>
      </c>
      <c r="T21" s="47">
        <f t="shared" ca="1" si="2"/>
        <v>10.657234059179029</v>
      </c>
      <c r="U21" s="47">
        <f t="shared" ca="1" si="3"/>
        <v>10.557321544258585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1749580</v>
      </c>
      <c r="M23" s="47">
        <f t="shared" ca="1" si="6"/>
        <v>1859816</v>
      </c>
      <c r="N23" s="47">
        <f t="shared" ca="1" si="6"/>
        <v>1409756.89</v>
      </c>
      <c r="O23" s="47">
        <f t="shared" ca="1" si="0"/>
        <v>80.576875021433722</v>
      </c>
      <c r="P23" s="47">
        <f t="shared" ca="1" si="1"/>
        <v>75.800879764449817</v>
      </c>
      <c r="Q23" s="47">
        <f t="shared" ca="1" si="7"/>
        <v>2588767.39</v>
      </c>
      <c r="R23" s="47">
        <f t="shared" ca="1" si="7"/>
        <v>2613267</v>
      </c>
      <c r="S23" s="47">
        <f t="shared" ca="1" si="7"/>
        <v>275891</v>
      </c>
      <c r="T23" s="47">
        <f t="shared" ca="1" si="2"/>
        <v>10.657234059179029</v>
      </c>
      <c r="U23" s="47">
        <f t="shared" ca="1" si="3"/>
        <v>10.557321544258585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1749580</v>
      </c>
      <c r="M40" s="703">
        <f ca="1">M44+M59+M72+M94+M125+M139+M157+M173+M186+M266+M282+M303+M320+M333+M356</f>
        <v>1859816</v>
      </c>
      <c r="N40" s="703">
        <f ca="1">N44+N59+N72+N94+N125+N139+N157+N173+N186+N266+N282+N303+N320+N333+N356</f>
        <v>1409756.89</v>
      </c>
      <c r="O40" s="703">
        <f ca="1">IF(L40&gt;0,N40*100/L40,0)</f>
        <v>80.576875021433722</v>
      </c>
      <c r="P40" s="703">
        <f ca="1">IF(M40&gt;0,N40*100/M40,0)</f>
        <v>75.800879764449817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402550</v>
      </c>
      <c r="M44" s="79">
        <f ca="1">M45+M46</f>
        <v>433006</v>
      </c>
      <c r="N44" s="79">
        <f ca="1">N45+N46</f>
        <v>413566</v>
      </c>
      <c r="O44" s="79">
        <f t="shared" ref="O44:O52" ca="1" si="10">IF(L44&gt;0,N44*100/L44,0)</f>
        <v>102.73655446528382</v>
      </c>
      <c r="P44" s="79">
        <f t="shared" ref="P44:P52" ca="1" si="11">IF(M44&gt;0,N44*100/M44,0)</f>
        <v>95.510454820487482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402550</v>
      </c>
      <c r="M46" s="83">
        <f t="shared" ca="1" si="14"/>
        <v>433006</v>
      </c>
      <c r="N46" s="83">
        <f t="shared" ca="1" si="14"/>
        <v>413566</v>
      </c>
      <c r="O46" s="83">
        <f t="shared" ca="1" si="10"/>
        <v>102.73655446528382</v>
      </c>
      <c r="P46" s="83">
        <f t="shared" ca="1" si="11"/>
        <v>95.510454820487482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402550</v>
      </c>
      <c r="M47" s="47">
        <f ca="1">M48+M49</f>
        <v>433006</v>
      </c>
      <c r="N47" s="47">
        <f ca="1">N48+N49</f>
        <v>413566</v>
      </c>
      <c r="O47" s="47">
        <f t="shared" ca="1" si="10"/>
        <v>102.73655446528382</v>
      </c>
      <c r="P47" s="47">
        <f t="shared" ca="1" si="11"/>
        <v>95.510454820487482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IFERROR(__xludf.DUMMYFUNCTION("IMPORTRANGE(""https://docs.google.com/spreadsheets/d/1-uDff_7J0KD5mKrp0Vvzr7lt3OU09vwQwhkpOPPYv2Y/edit?usp=sharing"",""งบพรบ!P76"")"),402550)</f>
        <v>402550</v>
      </c>
      <c r="M49" s="47">
        <f ca="1">IFERROR(__xludf.DUMMYFUNCTION("IMPORTRANGE(""https://docs.google.com/spreadsheets/d/1-uDff_7J0KD5mKrp0Vvzr7lt3OU09vwQwhkpOPPYv2Y/edit?usp=sharing"",""งบพรบ!V76"")"),433006)</f>
        <v>433006</v>
      </c>
      <c r="N49" s="47">
        <f ca="1">IFERROR(__xludf.DUMMYFUNCTION("IMPORTRANGE(""https://docs.google.com/spreadsheets/d/1-uDff_7J0KD5mKrp0Vvzr7lt3OU09vwQwhkpOPPYv2Y/edit?usp=sharing"",""งบพรบ!Y76"")"),413566)</f>
        <v>413566</v>
      </c>
      <c r="O49" s="47">
        <f t="shared" ca="1" si="10"/>
        <v>102.73655446528382</v>
      </c>
      <c r="P49" s="47">
        <f t="shared" ca="1" si="11"/>
        <v>95.510454820487482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465900</v>
      </c>
      <c r="M59" s="106">
        <f ca="1">M60+M61</f>
        <v>525440</v>
      </c>
      <c r="N59" s="106">
        <f ca="1">N60+N61</f>
        <v>504476.51</v>
      </c>
      <c r="O59" s="106">
        <f t="shared" ref="O59:O67" ca="1" si="16">IF(L59&gt;0,N59*100/L59,0)</f>
        <v>108.27999785361665</v>
      </c>
      <c r="P59" s="106">
        <f t="shared" ref="P59:P67" ca="1" si="17">IF(M59&gt;0,N59*100/M59,0)</f>
        <v>96.010298035931797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465900</v>
      </c>
      <c r="M61" s="109">
        <f t="shared" ca="1" si="20"/>
        <v>525440</v>
      </c>
      <c r="N61" s="109">
        <f t="shared" ca="1" si="20"/>
        <v>504476.51</v>
      </c>
      <c r="O61" s="109">
        <f t="shared" ca="1" si="16"/>
        <v>108.27999785361665</v>
      </c>
      <c r="P61" s="109">
        <f t="shared" ca="1" si="17"/>
        <v>96.010298035931797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465900</v>
      </c>
      <c r="M62" s="47">
        <f ca="1">M63+M64</f>
        <v>525440</v>
      </c>
      <c r="N62" s="47">
        <f ca="1">N63+N64</f>
        <v>504476.51</v>
      </c>
      <c r="O62" s="47">
        <f t="shared" ca="1" si="16"/>
        <v>108.27999785361665</v>
      </c>
      <c r="P62" s="47">
        <f t="shared" ca="1" si="17"/>
        <v>96.010298035931797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IFERROR(__xludf.DUMMYFUNCTION("IMPORTRANGE(""https://docs.google.com/spreadsheets/d/1-uDff_7J0KD5mKrp0Vvzr7lt3OU09vwQwhkpOPPYv2Y/edit?usp=sharing"",""งบพรบ!AC76"")"),465900)</f>
        <v>465900</v>
      </c>
      <c r="M64" s="47">
        <f ca="1">IFERROR(__xludf.DUMMYFUNCTION("IMPORTRANGE(""https://docs.google.com/spreadsheets/d/1-uDff_7J0KD5mKrp0Vvzr7lt3OU09vwQwhkpOPPYv2Y/edit?usp=sharing"",""งบพรบ!AH76"")"),525440)</f>
        <v>525440</v>
      </c>
      <c r="N64" s="47">
        <f ca="1">IFERROR(__xludf.DUMMYFUNCTION("IMPORTRANGE(""https://docs.google.com/spreadsheets/d/1-uDff_7J0KD5mKrp0Vvzr7lt3OU09vwQwhkpOPPYv2Y/edit?usp=sharing"",""งบพรบ!AJ76"")"),504476.51)</f>
        <v>504476.51</v>
      </c>
      <c r="O64" s="47">
        <f t="shared" ca="1" si="16"/>
        <v>108.27999785361665</v>
      </c>
      <c r="P64" s="47">
        <f t="shared" ca="1" si="17"/>
        <v>96.010298035931797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IFERROR(__xludf.DUMMYFUNCTION("IMPORTRANGE(""https://docs.google.com/spreadsheets/d/1-uDff_7J0KD5mKrp0Vvzr7lt3OU09vwQwhkpOPPYv2Y/edit?usp=sharing"",""งบพรบ!AF76"")"),0)</f>
        <v>0</v>
      </c>
      <c r="M67" s="111">
        <f ca="1">IFERROR(__xludf.DUMMYFUNCTION("IMPORTRANGE(""https://docs.google.com/spreadsheets/d/1-uDff_7J0KD5mKrp0Vvzr7lt3OU09vwQwhkpOPPYv2Y/edit?usp=sharing"",""งบพรบ!AI76"")"),0)</f>
        <v>0</v>
      </c>
      <c r="N67" s="111">
        <f ca="1">IFERROR(__xludf.DUMMYFUNCTION("IMPORTRANGE(""https://docs.google.com/spreadsheets/d/1-uDff_7J0KD5mKrp0Vvzr7lt3OU09vwQwhkpOPPYv2Y/edit?usp=sharing"",""งบพรบ!AK76"")"),0)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90000</v>
      </c>
      <c r="M72" s="132">
        <f ca="1">M73+M74</f>
        <v>90000</v>
      </c>
      <c r="N72" s="132">
        <f ca="1">N73+N74</f>
        <v>12567</v>
      </c>
      <c r="O72" s="132">
        <f t="shared" ref="O72:O80" ca="1" si="22">IF(L72&gt;0,N72*100/L72,0)</f>
        <v>13.963333333333333</v>
      </c>
      <c r="P72" s="132">
        <f t="shared" ref="P72:P80" ca="1" si="23">IF(M72&gt;0,N72*100/M72,0)</f>
        <v>13.963333333333333</v>
      </c>
      <c r="Q72" s="132">
        <f ca="1">Q73+Q74</f>
        <v>388700</v>
      </c>
      <c r="R72" s="132">
        <f ca="1">R73+R74</f>
        <v>388700</v>
      </c>
      <c r="S72" s="132">
        <f ca="1">S73+S74</f>
        <v>4980</v>
      </c>
      <c r="T72" s="132">
        <f t="shared" ref="T72:T80" ca="1" si="24">IF(Q72&gt;0,S72*100/Q72,0)</f>
        <v>1.2811937226652945</v>
      </c>
      <c r="U72" s="132">
        <f t="shared" ref="U72:U80" ca="1" si="25">IF(R72&gt;0,S72*100/R72,0)</f>
        <v>1.2811937226652945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90000</v>
      </c>
      <c r="M74" s="47">
        <f t="shared" ca="1" si="26"/>
        <v>90000</v>
      </c>
      <c r="N74" s="47">
        <f t="shared" ca="1" si="26"/>
        <v>12567</v>
      </c>
      <c r="O74" s="47">
        <f t="shared" ca="1" si="22"/>
        <v>13.963333333333333</v>
      </c>
      <c r="P74" s="47">
        <f t="shared" ca="1" si="23"/>
        <v>13.963333333333333</v>
      </c>
      <c r="Q74" s="47">
        <f t="shared" ca="1" si="27"/>
        <v>388700</v>
      </c>
      <c r="R74" s="47">
        <f t="shared" ca="1" si="27"/>
        <v>388700</v>
      </c>
      <c r="S74" s="47">
        <f t="shared" ca="1" si="27"/>
        <v>4980</v>
      </c>
      <c r="T74" s="47">
        <f t="shared" ca="1" si="24"/>
        <v>1.2811937226652945</v>
      </c>
      <c r="U74" s="47">
        <f t="shared" ca="1" si="25"/>
        <v>1.2811937226652945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90000</v>
      </c>
      <c r="M75" s="47">
        <f ca="1">M76+M77</f>
        <v>90000</v>
      </c>
      <c r="N75" s="47">
        <f ca="1">N76+N77</f>
        <v>12567</v>
      </c>
      <c r="O75" s="47">
        <f t="shared" ca="1" si="22"/>
        <v>13.963333333333333</v>
      </c>
      <c r="P75" s="47">
        <f t="shared" ca="1" si="23"/>
        <v>13.963333333333333</v>
      </c>
      <c r="Q75" s="47">
        <f ca="1">Q76+Q77</f>
        <v>388700</v>
      </c>
      <c r="R75" s="47">
        <f ca="1">R76+R77</f>
        <v>388700</v>
      </c>
      <c r="S75" s="47">
        <f ca="1">S76+S77</f>
        <v>4980</v>
      </c>
      <c r="T75" s="47">
        <f t="shared" ca="1" si="24"/>
        <v>1.2811937226652945</v>
      </c>
      <c r="U75" s="47">
        <f t="shared" ca="1" si="25"/>
        <v>1.2811937226652945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IFERROR(__xludf.DUMMYFUNCTION("IMPORTRANGE(""https://docs.google.com/spreadsheets/d/1-uDff_7J0KD5mKrp0Vvzr7lt3OU09vwQwhkpOPPYv2Y/edit?usp=sharing"",""งบพรบ!AM76"")"),90000)</f>
        <v>90000</v>
      </c>
      <c r="M77" s="47">
        <f ca="1">IFERROR(__xludf.DUMMYFUNCTION("IMPORTRANGE(""https://docs.google.com/spreadsheets/d/1-uDff_7J0KD5mKrp0Vvzr7lt3OU09vwQwhkpOPPYv2Y/edit?usp=sharing"",""งบพรบ!AR76"")"),90000)</f>
        <v>90000</v>
      </c>
      <c r="N77" s="47">
        <f ca="1">IFERROR(__xludf.DUMMYFUNCTION("IMPORTRANGE(""https://docs.google.com/spreadsheets/d/1-uDff_7J0KD5mKrp0Vvzr7lt3OU09vwQwhkpOPPYv2Y/edit?usp=sharing"",""งบพรบ!AT76"")"),12567)</f>
        <v>12567</v>
      </c>
      <c r="O77" s="47">
        <f t="shared" ca="1" si="22"/>
        <v>13.963333333333333</v>
      </c>
      <c r="P77" s="47">
        <f t="shared" ca="1" si="23"/>
        <v>13.963333333333333</v>
      </c>
      <c r="Q77" s="47">
        <f ca="1">IFERROR(__xludf.DUMMYFUNCTION("IMPORTRANGE(""https://docs.google.com/spreadsheets/d/1ItG2mGa2ceCfYo0BwxsXqNm01IGEUdYcSSLTEv9YCik/edit?usp=sharing"",""เบิกจ่ายกองทุน!AS76"")"),388700)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IFERROR(__xludf.DUMMYFUNCTION("IMPORTRANGE(""https://docs.google.com/spreadsheets/d/1ItG2mGa2ceCfYo0BwxsXqNm01IGEUdYcSSLTEv9YCik/edit?usp=sharing"",""เบิกจ่ายกองทุน!AT76"")"),388700)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IFERROR(__xludf.DUMMYFUNCTION("IMPORTRANGE(""https://docs.google.com/spreadsheets/d/1ItG2mGa2ceCfYo0BwxsXqNm01IGEUdYcSSLTEv9YCik/edit?usp=sharing"",""เบิกจ่ายกองทุน!AU76"")"),4980)</f>
        <v>4980</v>
      </c>
      <c r="T77" s="47">
        <f t="shared" ca="1" si="24"/>
        <v>1.2811937226652945</v>
      </c>
      <c r="U77" s="47">
        <f t="shared" ca="1" si="25"/>
        <v>1.2811937226652945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84420</v>
      </c>
      <c r="R96" s="47">
        <f t="shared" ca="1" si="34"/>
        <v>84420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IFERROR(__xludf.DUMMYFUNCTION("IMPORTRANGE(""https://docs.google.com/spreadsheets/d/1-uDff_7J0KD5mKrp0Vvzr7lt3OU09vwQwhkpOPPYv2Y/edit?usp=sharing"",""งบพรบ!AW76"")"),0)</f>
        <v>0</v>
      </c>
      <c r="M99" s="47">
        <f ca="1">IFERROR(__xludf.DUMMYFUNCTION("IMPORTRANGE(""https://docs.google.com/spreadsheets/d/1-uDff_7J0KD5mKrp0Vvzr7lt3OU09vwQwhkpOPPYv2Y/edit?usp=sharing"",""งบพรบ!BB76"")"),0)</f>
        <v>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IFERROR(__xludf.DUMMYFUNCTION("IMPORTRANGE(""https://docs.google.com/spreadsheets/d/1ItG2mGa2ceCfYo0BwxsXqNm01IGEUdYcSSLTEv9YCik/edit?usp=sharing"",""เบิกจ่ายกองทุน!AE76"")"),84420)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IFERROR(__xludf.DUMMYFUNCTION("IMPORTRANGE(""https://docs.google.com/spreadsheets/d/1ItG2mGa2ceCfYo0BwxsXqNm01IGEUdYcSSLTEv9YCik/edit?usp=sharing"",""เบิกจ่ายกองทุน!AF76"")"),0)</f>
        <v>0</v>
      </c>
      <c r="T99" s="47">
        <f t="shared" ca="1" si="31"/>
        <v>0</v>
      </c>
      <c r="U99" s="47">
        <f t="shared" ca="1" si="32"/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45277</v>
      </c>
      <c r="T117" s="132">
        <f t="shared" ref="T117:T125" ca="1" si="37">IF(Q117&gt;0,S117*100/Q117,0)</f>
        <v>21.626385173863202</v>
      </c>
      <c r="U117" s="132">
        <f t="shared" ref="U117:U125" ca="1" si="38">IF(R117&gt;0,S117*100/R117,0)</f>
        <v>21.626385173863202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209360</v>
      </c>
      <c r="R119" s="47">
        <f t="shared" ca="1" si="40"/>
        <v>209360</v>
      </c>
      <c r="S119" s="47">
        <f t="shared" ca="1" si="40"/>
        <v>45277</v>
      </c>
      <c r="T119" s="47">
        <f t="shared" ca="1" si="37"/>
        <v>21.626385173863202</v>
      </c>
      <c r="U119" s="47">
        <f t="shared" ca="1" si="38"/>
        <v>21.626385173863202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45277</v>
      </c>
      <c r="T120" s="47">
        <f t="shared" ca="1" si="37"/>
        <v>21.626385173863202</v>
      </c>
      <c r="U120" s="47">
        <f t="shared" ca="1" si="38"/>
        <v>21.626385173863202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IFERROR(__xludf.DUMMYFUNCTION("IMPORTRANGE(""https://docs.google.com/spreadsheets/d/1ItG2mGa2ceCfYo0BwxsXqNm01IGEUdYcSSLTEv9YCik/edit?usp=sharing"",""เบิกจ่ายกองทุน!S76"")"),209360)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IFERROR(__xludf.DUMMYFUNCTION("IMPORTRANGE(""https://docs.google.com/spreadsheets/d/1ItG2mGa2ceCfYo0BwxsXqNm01IGEUdYcSSLTEv9YCik/edit?usp=sharing"",""เบิกจ่ายกองทุน!T76"")"),45277)</f>
        <v>45277</v>
      </c>
      <c r="T122" s="47">
        <f t="shared" ca="1" si="37"/>
        <v>21.626385173863202</v>
      </c>
      <c r="U122" s="47">
        <f t="shared" ca="1" si="38"/>
        <v>21.626385173863202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0</v>
      </c>
      <c r="K129" s="47">
        <f ca="1">IF(I129&gt;0,J129*100/I129,0)</f>
        <v>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111200</v>
      </c>
      <c r="M139" s="132">
        <f ca="1">M140+M141</f>
        <v>106200</v>
      </c>
      <c r="N139" s="132">
        <f ca="1">N140+N141</f>
        <v>80850</v>
      </c>
      <c r="O139" s="132">
        <f t="shared" ref="O139:O147" ca="1" si="41">IF(L139&gt;0,N139*100/L139,0)</f>
        <v>72.706834532374103</v>
      </c>
      <c r="P139" s="132">
        <f t="shared" ref="P139:P147" ca="1" si="42">IF(M139&gt;0,N139*100/M139,0)</f>
        <v>76.129943502824858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111200</v>
      </c>
      <c r="M141" s="47">
        <f t="shared" ca="1" si="45"/>
        <v>106200</v>
      </c>
      <c r="N141" s="47">
        <f t="shared" ca="1" si="45"/>
        <v>80850</v>
      </c>
      <c r="O141" s="47">
        <f t="shared" ca="1" si="41"/>
        <v>72.706834532374103</v>
      </c>
      <c r="P141" s="47">
        <f t="shared" ca="1" si="42"/>
        <v>76.129943502824858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111200</v>
      </c>
      <c r="M142" s="47">
        <f ca="1">M143+M144</f>
        <v>106200</v>
      </c>
      <c r="N142" s="47">
        <f ca="1">N143+N144</f>
        <v>80850</v>
      </c>
      <c r="O142" s="47">
        <f t="shared" ca="1" si="41"/>
        <v>72.706834532374103</v>
      </c>
      <c r="P142" s="47">
        <f t="shared" ca="1" si="42"/>
        <v>76.129943502824858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IFERROR(__xludf.DUMMYFUNCTION("IMPORTRANGE(""https://docs.google.com/spreadsheets/d/1-uDff_7J0KD5mKrp0Vvzr7lt3OU09vwQwhkpOPPYv2Y/edit?usp=sharing"",""งบพรบ!BX76"")"),80850)</f>
        <v>80850</v>
      </c>
      <c r="O144" s="47">
        <f t="shared" ca="1" si="41"/>
        <v>72.706834532374103</v>
      </c>
      <c r="P144" s="47">
        <f t="shared" ca="1" si="42"/>
        <v>76.129943502824858</v>
      </c>
      <c r="Q144" s="47">
        <f ca="1">IFERROR(__xludf.DUMMYFUNCTION("IMPORTRANGE(""https://docs.google.com/spreadsheets/d/1ItG2mGa2ceCfYo0BwxsXqNm01IGEUdYcSSLTEv9YCik/edit?usp=sharing"",""เบิกจ่ายกองทุน!BB76"")"),0)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IFERROR(__xludf.DUMMYFUNCTION("IMPORTRANGE(""https://docs.google.com/spreadsheets/d/1ItG2mGa2ceCfYo0BwxsXqNm01IGEUdYcSSLTEv9YCik/edit?usp=sharing"",""เบิกจ่ายกองทุน!BC76"")"),0)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IFERROR(__xludf.DUMMYFUNCTION("IMPORTRANGE(""https://docs.google.com/spreadsheets/d/1ItG2mGa2ceCfYo0BwxsXqNm01IGEUdYcSSLTEv9YCik/edit?usp=sharing"",""เบิกจ่ายกองทุน!BD76"")"),0)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3000</v>
      </c>
      <c r="M157" s="132">
        <f ca="1">M158+M159</f>
        <v>11670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3000</v>
      </c>
      <c r="M159" s="47">
        <f t="shared" ca="1" si="51"/>
        <v>11670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3000</v>
      </c>
      <c r="M160" s="47">
        <f ca="1">M161+M162</f>
        <v>11670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IFERROR(__xludf.DUMMYFUNCTION("IMPORTRANGE(""https://docs.google.com/spreadsheets/d/1-uDff_7J0KD5mKrp0Vvzr7lt3OU09vwQwhkpOPPYv2Y/edit?usp=sharing"",""งบพรบ!CA76"")"),3000)</f>
        <v>3000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IFERROR(__xludf.DUMMYFUNCTION("IMPORTRANGE(""https://docs.google.com/spreadsheets/d/1ItG2mGa2ceCfYo0BwxsXqNm01IGEUdYcSSLTEv9YCik/edit?usp=sharing"",""เบิกจ่ายกองทุน!AI76"")"),0)</f>
        <v>0</v>
      </c>
      <c r="T162" s="47">
        <f t="shared" ca="1" si="49"/>
        <v>0</v>
      </c>
      <c r="U162" s="47">
        <f t="shared" ca="1" si="50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I167</f>
        <v>15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I167</f>
        <v>15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0</v>
      </c>
      <c r="M173" s="132">
        <f ca="1">M174+M175</f>
        <v>0</v>
      </c>
      <c r="N173" s="132">
        <f ca="1">N174+N175</f>
        <v>0</v>
      </c>
      <c r="O173" s="132">
        <f t="shared" ref="O173:O181" ca="1" si="53">IF(L173&gt;0,N173*100/L173,0)</f>
        <v>0</v>
      </c>
      <c r="P173" s="132">
        <f t="shared" ref="P173:P181" ca="1" si="54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0</v>
      </c>
      <c r="M175" s="47">
        <f t="shared" ca="1" si="57"/>
        <v>0</v>
      </c>
      <c r="N175" s="47">
        <f t="shared" ca="1" si="57"/>
        <v>0</v>
      </c>
      <c r="O175" s="47">
        <f t="shared" ca="1" si="53"/>
        <v>0</v>
      </c>
      <c r="P175" s="47">
        <f t="shared" ca="1" si="54"/>
        <v>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0</v>
      </c>
      <c r="M176" s="47">
        <f ca="1">M177+M178</f>
        <v>0</v>
      </c>
      <c r="N176" s="47">
        <f ca="1">N177+N178</f>
        <v>0</v>
      </c>
      <c r="O176" s="47">
        <f t="shared" ca="1" si="53"/>
        <v>0</v>
      </c>
      <c r="P176" s="47">
        <f t="shared" ca="1" si="54"/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t="shared" ca="1" si="53"/>
        <v>0</v>
      </c>
      <c r="P178" s="47">
        <f t="shared" ca="1" si="54"/>
        <v>0</v>
      </c>
      <c r="Q178" s="47">
        <f ca="1">IFERROR(__xludf.DUMMYFUNCTION("IMPORTRANGE(""https://docs.google.com/spreadsheets/d/1ItG2mGa2ceCfYo0BwxsXqNm01IGEUdYcSSLTEv9YCik/edit?usp=sharing"",""เบิกจ่ายกองทุน!BE76"")"),0)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IFERROR(__xludf.DUMMYFUNCTION("IMPORTRANGE(""https://docs.google.com/spreadsheets/d/1ItG2mGa2ceCfYo0BwxsXqNm01IGEUdYcSSLTEv9YCik/edit?usp=sharing"",""เบิกจ่ายกองทุน!BG76"")"),0)</f>
        <v>0</v>
      </c>
      <c r="T178" s="47">
        <f t="shared" ca="1" si="55"/>
        <v>0</v>
      </c>
      <c r="U178" s="47">
        <f t="shared" ca="1" si="56"/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hidden="1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55500</v>
      </c>
      <c r="M186" s="132">
        <f ca="1">M187+M188</f>
        <v>38200</v>
      </c>
      <c r="N186" s="132">
        <f ca="1">N187+N188</f>
        <v>4502</v>
      </c>
      <c r="O186" s="132">
        <f t="shared" ref="O186:O194" ca="1" si="59">IF(L186&gt;0,N186*100/L186,0)</f>
        <v>8.1117117117117115</v>
      </c>
      <c r="P186" s="132">
        <f t="shared" ref="P186:P194" ca="1" si="60">IF(M186&gt;0,N186*100/M186,0)</f>
        <v>11.785340314136125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55500</v>
      </c>
      <c r="M188" s="47">
        <f t="shared" ca="1" si="63"/>
        <v>38200</v>
      </c>
      <c r="N188" s="47">
        <f t="shared" ca="1" si="63"/>
        <v>4502</v>
      </c>
      <c r="O188" s="47">
        <f t="shared" ca="1" si="59"/>
        <v>8.1117117117117115</v>
      </c>
      <c r="P188" s="47">
        <f t="shared" ca="1" si="60"/>
        <v>11.785340314136125</v>
      </c>
      <c r="Q188" s="47">
        <f t="shared" ca="1" si="64"/>
        <v>105700</v>
      </c>
      <c r="R188" s="47">
        <f t="shared" ca="1" si="64"/>
        <v>105700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55500</v>
      </c>
      <c r="M189" s="47">
        <f ca="1">M190+M191</f>
        <v>38200</v>
      </c>
      <c r="N189" s="47">
        <f ca="1">N190+N191</f>
        <v>4502</v>
      </c>
      <c r="O189" s="47">
        <f t="shared" ca="1" si="59"/>
        <v>8.1117117117117115</v>
      </c>
      <c r="P189" s="47">
        <f t="shared" ca="1" si="60"/>
        <v>11.785340314136125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IFERROR(__xludf.DUMMYFUNCTION("IMPORTRANGE(""https://docs.google.com/spreadsheets/d/1-uDff_7J0KD5mKrp0Vvzr7lt3OU09vwQwhkpOPPYv2Y/edit?usp=sharing"",""งบพรบ!CU76"")"),55500)</f>
        <v>55500</v>
      </c>
      <c r="M191" s="47">
        <f ca="1">IFERROR(__xludf.DUMMYFUNCTION("IMPORTRANGE(""https://docs.google.com/spreadsheets/d/1-uDff_7J0KD5mKrp0Vvzr7lt3OU09vwQwhkpOPPYv2Y/edit?usp=sharing"",""งบพรบ!CZ76"")"),38200)</f>
        <v>38200</v>
      </c>
      <c r="N191" s="47">
        <f ca="1">IFERROR(__xludf.DUMMYFUNCTION("IMPORTRANGE(""https://docs.google.com/spreadsheets/d/1-uDff_7J0KD5mKrp0Vvzr7lt3OU09vwQwhkpOPPYv2Y/edit?usp=sharing"",""งบพรบ!DB76"")"),4502)</f>
        <v>4502</v>
      </c>
      <c r="O191" s="47">
        <f t="shared" ca="1" si="59"/>
        <v>8.1117117117117115</v>
      </c>
      <c r="P191" s="47">
        <f t="shared" ca="1" si="60"/>
        <v>11.785340314136125</v>
      </c>
      <c r="Q191" s="47">
        <f ca="1">IFERROR(__xludf.DUMMYFUNCTION("IMPORTRANGE(""https://docs.google.com/spreadsheets/d/1ItG2mGa2ceCfYo0BwxsXqNm01IGEUdYcSSLTEv9YCik/edit?usp=sharing"",""เบิกจ่ายกองทุน!AV76"")"),105700)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IFERROR(__xludf.DUMMYFUNCTION("IMPORTRANGE(""https://docs.google.com/spreadsheets/d/1ItG2mGa2ceCfYo0BwxsXqNm01IGEUdYcSSLTEv9YCik/edit?usp=sharing"",""เบิกจ่ายกองทุน!AW76"")"),105700)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IFERROR(__xludf.DUMMYFUNCTION("IMPORTRANGE(""https://docs.google.com/spreadsheets/d/1ItG2mGa2ceCfYo0BwxsXqNm01IGEUdYcSSLTEv9YCik/edit?usp=sharing"",""เบิกจ่ายกองทุน!AX76"")"),0)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56000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IFERROR(__xludf.DUMMYFUNCTION("IMPORTRANGE(""https://docs.google.com/spreadsheets/d/1eHaY18a8A9IcSdp1K8H6x8fbOy06t2VsZHhMHf-1x7Y/edit?usp=sharing"",""แผน!AG76"")"),2000)</f>
        <v>2000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IFERROR(__xludf.DUMMYFUNCTION("IMPORTRANGE(""https://docs.google.com/spreadsheets/d/1eHaY18a8A9IcSdp1K8H6x8fbOy06t2VsZHhMHf-1x7Y/edit?usp=sharing"",""แผน!AH76"")"),0)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IFERROR(__xludf.DUMMYFUNCTION("IMPORTRANGE(""https://docs.google.com/spreadsheets/d/1eHaY18a8A9IcSdp1K8H6x8fbOy06t2VsZHhMHf-1x7Y/edit?usp=sharing"",""แผน!AI76"")"),0)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IFERROR(__xludf.DUMMYFUNCTION("IMPORTRANGE(""https://docs.google.com/spreadsheets/d/1eHaY18a8A9IcSdp1K8H6x8fbOy06t2VsZHhMHf-1x7Y/edit?usp=sharing"",""แผน!AJ76"")"),13000)</f>
        <v>13000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49700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IFERROR(__xludf.DUMMYFUNCTION("IMPORTRANGE(""https://docs.google.com/spreadsheets/d/1eHaY18a8A9IcSdp1K8H6x8fbOy06t2VsZHhMHf-1x7Y/edit?usp=sharing"",""แผน!AO76"")"),0)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646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IFERROR(__xludf.DUMMYFUNCTION("IMPORTRANGE(""https://docs.google.com/spreadsheets/d/1eHaY18a8A9IcSdp1K8H6x8fbOy06t2VsZHhMHf-1x7Y/edit?usp=sharing"",""แผน!AR76"")"),2500)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IFERROR(__xludf.DUMMYFUNCTION("IMPORTRANGE(""https://docs.google.com/spreadsheets/d/1eHaY18a8A9IcSdp1K8H6x8fbOy06t2VsZHhMHf-1x7Y/edit?usp=sharing"",""แผน!AS76"")"),2000)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IFERROR(__xludf.DUMMYFUNCTION("IMPORTRANGE(""https://docs.google.com/spreadsheets/d/1eHaY18a8A9IcSdp1K8H6x8fbOy06t2VsZHhMHf-1x7Y/edit?usp=sharing"",""แผน!AT76"")"),0)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IFERROR(__xludf.DUMMYFUNCTION("IMPORTRANGE(""https://docs.google.com/spreadsheets/d/1eHaY18a8A9IcSdp1K8H6x8fbOy06t2VsZHhMHf-1x7Y/edit?usp=sharing"",""แผน!AX76"")"),0)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IFERROR(__xludf.DUMMYFUNCTION("IMPORTRANGE(""https://docs.google.com/spreadsheets/d/1eHaY18a8A9IcSdp1K8H6x8fbOy06t2VsZHhMHf-1x7Y/edit?usp=sharing"",""แผน!AY76"")"),0)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IFERROR(__xludf.DUMMYFUNCTION("IMPORTRANGE(""https://docs.google.com/spreadsheets/d/1eHaY18a8A9IcSdp1K8H6x8fbOy06t2VsZHhMHf-1x7Y/edit?usp=sharing"",""แผน!AZ76"")"),0)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IFERROR(__xludf.DUMMYFUNCTION("IMPORTRANGE(""https://docs.google.com/spreadsheets/d/1eHaY18a8A9IcSdp1K8H6x8fbOy06t2VsZHhMHf-1x7Y/edit?usp=sharing"",""แผน!BA76"")"),0)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IFERROR(__xludf.DUMMYFUNCTION("IMPORTRANGE(""https://docs.google.com/spreadsheets/d/1eHaY18a8A9IcSdp1K8H6x8fbOy06t2VsZHhMHf-1x7Y/edit?usp=sharing"",""แผน!BG76"")"),0)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IFERROR(__xludf.DUMMYFUNCTION("IMPORTRANGE(""https://docs.google.com/spreadsheets/d/1eHaY18a8A9IcSdp1K8H6x8fbOy06t2VsZHhMHf-1x7Y/edit?usp=sharing"",""แผน!BB76"")"),0)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IFERROR(__xludf.DUMMYFUNCTION("IMPORTRANGE(""https://docs.google.com/spreadsheets/d/1eHaY18a8A9IcSdp1K8H6x8fbOy06t2VsZHhMHf-1x7Y/edit?usp=sharing"",""แผน!BC76"")"),0)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IFERROR(__xludf.DUMMYFUNCTION("IMPORTRANGE(""https://docs.google.com/spreadsheets/d/1eHaY18a8A9IcSdp1K8H6x8fbOy06t2VsZHhMHf-1x7Y/edit?usp=sharing"",""แผน!BD76"")"),0)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IFERROR(__xludf.DUMMYFUNCTION("IMPORTRANGE(""https://docs.google.com/spreadsheets/d/1eHaY18a8A9IcSdp1K8H6x8fbOy06t2VsZHhMHf-1x7Y/edit?usp=sharing"",""แผน!BE76"")"),0)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IFERROR(__xludf.DUMMYFUNCTION("IMPORTRANGE(""https://docs.google.com/spreadsheets/d/1eHaY18a8A9IcSdp1K8H6x8fbOy06t2VsZHhMHf-1x7Y/edit?usp=sharing"",""แผน!BH76"")"),0)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24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19870</v>
      </c>
      <c r="N266" s="624">
        <f ca="1">N267+N268</f>
        <v>9990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50.276799194765978</v>
      </c>
      <c r="Q266" s="624">
        <f ca="1">Q267+Q268</f>
        <v>53440</v>
      </c>
      <c r="R266" s="624">
        <f ca="1">R267+R268</f>
        <v>53440</v>
      </c>
      <c r="S266" s="624">
        <f ca="1">S267+S268</f>
        <v>36360</v>
      </c>
      <c r="T266" s="624">
        <f t="shared" ref="T266:T274" ca="1" si="67">IF(Q266&gt;0,S266*100/Q266,0)</f>
        <v>68.038922155688624</v>
      </c>
      <c r="U266" s="624">
        <f t="shared" ref="U266:U274" ca="1" si="68">IF(R266&gt;0,S266*100/R266,0)</f>
        <v>68.038922155688624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19870</v>
      </c>
      <c r="N268" s="482">
        <f t="shared" ca="1" si="69"/>
        <v>9990</v>
      </c>
      <c r="O268" s="482">
        <f t="shared" ca="1" si="65"/>
        <v>0</v>
      </c>
      <c r="P268" s="482">
        <f t="shared" ca="1" si="66"/>
        <v>50.276799194765978</v>
      </c>
      <c r="Q268" s="482">
        <f t="shared" ca="1" si="70"/>
        <v>53440</v>
      </c>
      <c r="R268" s="482">
        <f t="shared" ca="1" si="70"/>
        <v>53440</v>
      </c>
      <c r="S268" s="482">
        <f t="shared" ca="1" si="70"/>
        <v>36360</v>
      </c>
      <c r="T268" s="482">
        <f t="shared" ca="1" si="67"/>
        <v>68.038922155688624</v>
      </c>
      <c r="U268" s="482">
        <f t="shared" ca="1" si="68"/>
        <v>68.038922155688624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19870</v>
      </c>
      <c r="N269" s="482">
        <f ca="1">N270+N271</f>
        <v>9990</v>
      </c>
      <c r="O269" s="482">
        <f t="shared" ca="1" si="65"/>
        <v>0</v>
      </c>
      <c r="P269" s="482">
        <f t="shared" ca="1" si="66"/>
        <v>50.276799194765978</v>
      </c>
      <c r="Q269" s="482">
        <f ca="1">Q270+Q271</f>
        <v>53440</v>
      </c>
      <c r="R269" s="482">
        <f ca="1">R270+R271</f>
        <v>53440</v>
      </c>
      <c r="S269" s="482">
        <f ca="1">S270+S271</f>
        <v>36360</v>
      </c>
      <c r="T269" s="482">
        <f t="shared" ca="1" si="67"/>
        <v>68.038922155688624</v>
      </c>
      <c r="U269" s="482">
        <f t="shared" ca="1" si="68"/>
        <v>68.038922155688624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IFERROR(__xludf.DUMMYFUNCTION("IMPORTRANGE(""https://docs.google.com/spreadsheets/d/1-uDff_7J0KD5mKrp0Vvzr7lt3OU09vwQwhkpOPPYv2Y/edit?usp=sharing"",""งบพรบ!DE76"")"),0)</f>
        <v>0</v>
      </c>
      <c r="M271" s="482">
        <f ca="1">IFERROR(__xludf.DUMMYFUNCTION("IMPORTRANGE(""https://docs.google.com/spreadsheets/d/1-uDff_7J0KD5mKrp0Vvzr7lt3OU09vwQwhkpOPPYv2Y/edit?usp=sharing"",""งบพรบ!DJ76"")"),19870)</f>
        <v>19870</v>
      </c>
      <c r="N271" s="482">
        <f ca="1">IFERROR(__xludf.DUMMYFUNCTION("IMPORTRANGE(""https://docs.google.com/spreadsheets/d/1-uDff_7J0KD5mKrp0Vvzr7lt3OU09vwQwhkpOPPYv2Y/edit?usp=sharing"",""งบพรบ!DL76"")"),9990)</f>
        <v>9990</v>
      </c>
      <c r="O271" s="482">
        <f t="shared" ca="1" si="65"/>
        <v>0</v>
      </c>
      <c r="P271" s="482">
        <f t="shared" ca="1" si="66"/>
        <v>50.276799194765978</v>
      </c>
      <c r="Q271" s="482">
        <f ca="1">IFERROR(__xludf.DUMMYFUNCTION("IMPORTRANGE(""https://docs.google.com/spreadsheets/d/1ItG2mGa2ceCfYo0BwxsXqNm01IGEUdYcSSLTEv9YCik/edit?usp=sharing"",""เบิกจ่ายกองทุน!AJ76"")"),53440)</f>
        <v>53440</v>
      </c>
      <c r="R271" s="482">
        <f ca="1">IFERROR(__xludf.DUMMYFUNCTION("IMPORTRANGE(""https://docs.google.com/spreadsheets/d/1ItG2mGa2ceCfYo0BwxsXqNm01IGEUdYcSSLTEv9YCik/edit?usp=sharing"",""เบิกจ่ายกองทุน!AK76"")"),53440)</f>
        <v>53440</v>
      </c>
      <c r="S271" s="482">
        <f ca="1">IFERROR(__xludf.DUMMYFUNCTION("IMPORTRANGE(""https://docs.google.com/spreadsheets/d/1ItG2mGa2ceCfYo0BwxsXqNm01IGEUdYcSSLTEv9YCik/edit?usp=sharing"",""เบิกจ่ายกองทุน!AL76"")"),36360)</f>
        <v>36360</v>
      </c>
      <c r="T271" s="482">
        <f t="shared" ca="1" si="67"/>
        <v>68.038922155688624</v>
      </c>
      <c r="U271" s="482">
        <f t="shared" ca="1" si="68"/>
        <v>68.038922155688624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IFERROR(__xludf.DUMMYFUNCTION("IMPORTRANGE(""https://docs.google.com/spreadsheets/d/1-uDff_7J0KD5mKrp0Vvzr7lt3OU09vwQwhkpOPPYv2Y/edit?usp=sharing"",""งบพรบ!DH76"")"),0)</f>
        <v>0</v>
      </c>
      <c r="M274" s="482">
        <f ca="1">IFERROR(__xludf.DUMMYFUNCTION("IMPORTRANGE(""https://docs.google.com/spreadsheets/d/1-uDff_7J0KD5mKrp0Vvzr7lt3OU09vwQwhkpOPPYv2Y/edit?usp=sharing"",""งบพรบ!DK76"")"),0)</f>
        <v>0</v>
      </c>
      <c r="N274" s="482">
        <f ca="1">IFERROR(__xludf.DUMMYFUNCTION("IMPORTRANGE(""https://docs.google.com/spreadsheets/d/1-uDff_7J0KD5mKrp0Vvzr7lt3OU09vwQwhkpOPPYv2Y/edit?usp=sharing"",""งบพรบ!DM76"")"),0)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IFERROR(__xludf.DUMMYFUNCTION("IMPORTRANGE(""https://docs.google.com/spreadsheets/d/1eHaY18a8A9IcSdp1K8H6x8fbOy06t2VsZHhMHf-1x7Y/edit?usp=sharing"",""แผน!EC76"")"),24)</f>
        <v>24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16830</v>
      </c>
      <c r="T303" s="132">
        <f t="shared" ref="T303:T311" ca="1" si="79">IF(Q303&gt;0,S303*100/Q303,0)</f>
        <v>6.4493040442194633</v>
      </c>
      <c r="U303" s="132">
        <f t="shared" ref="U303:U311" ca="1" si="80">IF(R303&gt;0,S303*100/R303,0)</f>
        <v>6.449313682661578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260958.39</v>
      </c>
      <c r="R305" s="47">
        <f t="shared" ca="1" si="82"/>
        <v>260958</v>
      </c>
      <c r="S305" s="47">
        <f t="shared" ca="1" si="82"/>
        <v>16830</v>
      </c>
      <c r="T305" s="47">
        <f t="shared" ca="1" si="79"/>
        <v>6.4493040442194633</v>
      </c>
      <c r="U305" s="47">
        <f t="shared" ca="1" si="80"/>
        <v>6.449313682661578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16830</v>
      </c>
      <c r="T306" s="47">
        <f t="shared" ca="1" si="79"/>
        <v>6.4493040442194633</v>
      </c>
      <c r="U306" s="47">
        <f t="shared" ca="1" si="80"/>
        <v>6.449313682661578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IFERROR(__xludf.DUMMYFUNCTION("IMPORTRANGE(""https://docs.google.com/spreadsheets/d/1ItG2mGa2ceCfYo0BwxsXqNm01IGEUdYcSSLTEv9YCik/edit?usp=sharing"",""เบิกจ่ายกองทุน!AQ76"")"),260958)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IFERROR(__xludf.DUMMYFUNCTION("IMPORTRANGE(""https://docs.google.com/spreadsheets/d/1ItG2mGa2ceCfYo0BwxsXqNm01IGEUdYcSSLTEv9YCik/edit?usp=sharing"",""เบิกจ่ายกองทุน!AR76"")"),16830)</f>
        <v>16830</v>
      </c>
      <c r="T308" s="47">
        <f t="shared" ca="1" si="79"/>
        <v>6.4493040442194633</v>
      </c>
      <c r="U308" s="47">
        <f t="shared" ca="1" si="80"/>
        <v>6.449313682661578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20000</v>
      </c>
      <c r="M320" s="132">
        <f ca="1">M321+M322</f>
        <v>20000</v>
      </c>
      <c r="N320" s="132">
        <f ca="1">N321+N322</f>
        <v>15742.1</v>
      </c>
      <c r="O320" s="132">
        <f t="shared" ref="O320:O328" ca="1" si="83">IF(L320&gt;0,N320*100/L320,0)</f>
        <v>78.710499999999996</v>
      </c>
      <c r="P320" s="132">
        <f t="shared" ref="P320:P328" ca="1" si="84">IF(M320&gt;0,N320*100/M320,0)</f>
        <v>78.710499999999996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20000</v>
      </c>
      <c r="M322" s="47">
        <f t="shared" ca="1" si="87"/>
        <v>20000</v>
      </c>
      <c r="N322" s="47">
        <f t="shared" ca="1" si="87"/>
        <v>15742.1</v>
      </c>
      <c r="O322" s="47">
        <f t="shared" ca="1" si="83"/>
        <v>78.710499999999996</v>
      </c>
      <c r="P322" s="47">
        <f t="shared" ca="1" si="84"/>
        <v>78.710499999999996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20000</v>
      </c>
      <c r="M323" s="47">
        <f ca="1">M324+M325</f>
        <v>20000</v>
      </c>
      <c r="N323" s="47">
        <f ca="1">N324+N325</f>
        <v>15742.1</v>
      </c>
      <c r="O323" s="47">
        <f t="shared" ca="1" si="83"/>
        <v>78.710499999999996</v>
      </c>
      <c r="P323" s="47">
        <f t="shared" ca="1" si="84"/>
        <v>78.710499999999996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IFERROR(__xludf.DUMMYFUNCTION("IMPORTRANGE(""https://docs.google.com/spreadsheets/d/1-uDff_7J0KD5mKrp0Vvzr7lt3OU09vwQwhkpOPPYv2Y/edit?usp=sharing"",""งบพรบ!EI76"")"),20000)</f>
        <v>20000</v>
      </c>
      <c r="M325" s="47">
        <f ca="1">IFERROR(__xludf.DUMMYFUNCTION("IMPORTRANGE(""https://docs.google.com/spreadsheets/d/1-uDff_7J0KD5mKrp0Vvzr7lt3OU09vwQwhkpOPPYv2Y/edit?usp=sharing"",""งบพรบ!EN76"")"),20000)</f>
        <v>20000</v>
      </c>
      <c r="N325" s="47">
        <f ca="1">IFERROR(__xludf.DUMMYFUNCTION("IMPORTRANGE(""https://docs.google.com/spreadsheets/d/1-uDff_7J0KD5mKrp0Vvzr7lt3OU09vwQwhkpOPPYv2Y/edit?usp=sharing"",""งบพรบ!EP76"")"),15742.1)</f>
        <v>15742.1</v>
      </c>
      <c r="O325" s="47">
        <f t="shared" ca="1" si="83"/>
        <v>78.710499999999996</v>
      </c>
      <c r="P325" s="47">
        <f t="shared" ca="1" si="84"/>
        <v>78.710499999999996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IFERROR(__xludf.DUMMYFUNCTION("IMPORTRANGE(""https://docs.google.com/spreadsheets/d/1-uDff_7J0KD5mKrp0Vvzr7lt3OU09vwQwhkpOPPYv2Y/edit?usp=sharing"",""งบพรบ!EL76"")"),0)</f>
        <v>0</v>
      </c>
      <c r="M328" s="47">
        <f ca="1">IFERROR(__xludf.DUMMYFUNCTION("IMPORTRANGE(""https://docs.google.com/spreadsheets/d/1-uDff_7J0KD5mKrp0Vvzr7lt3OU09vwQwhkpOPPYv2Y/edit?usp=sharing"",""งบพรบ!EO76"")"),0)</f>
        <v>0</v>
      </c>
      <c r="N328" s="47">
        <f ca="1">IFERROR(__xludf.DUMMYFUNCTION("IMPORTRANGE(""https://docs.google.com/spreadsheets/d/1-uDff_7J0KD5mKrp0Vvzr7lt3OU09vwQwhkpOPPYv2Y/edit?usp=sharing"",""งบพรบ!EQ76"")"),0)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2060</v>
      </c>
      <c r="J332" s="596">
        <f ca="1">J344+J347+J348+J349+J353</f>
        <v>10111</v>
      </c>
      <c r="K332" s="595">
        <f ca="1">IF(I332&gt;0,J332*100/I332,0)</f>
        <v>490.82524271844659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109000</v>
      </c>
      <c r="M333" s="132">
        <f ca="1">M334+M335</f>
        <v>114000</v>
      </c>
      <c r="N333" s="132">
        <f ca="1">N334+N335</f>
        <v>66914</v>
      </c>
      <c r="O333" s="132">
        <f t="shared" ref="O333:O341" ca="1" si="89">IF(L333&gt;0,N333*100/L333,0)</f>
        <v>61.388990825688076</v>
      </c>
      <c r="P333" s="132">
        <f t="shared" ref="P333:P341" ca="1" si="90">IF(M333&gt;0,N333*100/M333,0)</f>
        <v>58.696491228070172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109000</v>
      </c>
      <c r="M335" s="47">
        <f t="shared" ca="1" si="93"/>
        <v>114000</v>
      </c>
      <c r="N335" s="47">
        <f t="shared" ca="1" si="93"/>
        <v>66914</v>
      </c>
      <c r="O335" s="47">
        <f t="shared" ca="1" si="89"/>
        <v>61.388990825688076</v>
      </c>
      <c r="P335" s="47">
        <f t="shared" ca="1" si="90"/>
        <v>58.696491228070172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109000</v>
      </c>
      <c r="M336" s="47">
        <f ca="1">M337+M338</f>
        <v>114000</v>
      </c>
      <c r="N336" s="47">
        <f ca="1">N337+N338</f>
        <v>66914</v>
      </c>
      <c r="O336" s="47">
        <f t="shared" ca="1" si="89"/>
        <v>61.388990825688076</v>
      </c>
      <c r="P336" s="47">
        <f t="shared" ca="1" si="90"/>
        <v>58.696491228070172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IFERROR(__xludf.DUMMYFUNCTION("IMPORTRANGE(""https://docs.google.com/spreadsheets/d/1-uDff_7J0KD5mKrp0Vvzr7lt3OU09vwQwhkpOPPYv2Y/edit?usp=sharing"",""งบพรบ!ES76"")"),109000)</f>
        <v>109000</v>
      </c>
      <c r="M338" s="47">
        <f ca="1">IFERROR(__xludf.DUMMYFUNCTION("IMPORTRANGE(""https://docs.google.com/spreadsheets/d/1-uDff_7J0KD5mKrp0Vvzr7lt3OU09vwQwhkpOPPYv2Y/edit?usp=sharing"",""งบพรบ!EX76"")"),114000)</f>
        <v>114000</v>
      </c>
      <c r="N338" s="47">
        <f ca="1">IFERROR(__xludf.DUMMYFUNCTION("IMPORTRANGE(""https://docs.google.com/spreadsheets/d/1-uDff_7J0KD5mKrp0Vvzr7lt3OU09vwQwhkpOPPYv2Y/edit?usp=sharing"",""งบพรบ!EZ76"")"),66914)</f>
        <v>66914</v>
      </c>
      <c r="O338" s="47">
        <f t="shared" ca="1" si="89"/>
        <v>61.388990825688076</v>
      </c>
      <c r="P338" s="47">
        <f t="shared" ca="1" si="90"/>
        <v>58.696491228070172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4097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IFERROR(__xludf.DUMMYFUNCTION("IMPORTRANGE(""https://docs.google.com/spreadsheets/d/1awYsYK3VOup2i3Pq_Yjnu8DRu_mYwSBnCR2QPthd0rU/edit?usp=sharing"",""ศูนย์ยกเว้นโฉนด!D76"")"),4095)</f>
        <v>4095</v>
      </c>
      <c r="K344" s="47">
        <f ca="1">IF(I344&gt;0,J344*100/I344,0)</f>
        <v>198.78640776699029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IFERROR(__xludf.DUMMYFUNCTION("IMPORTRANGE(""https://docs.google.com/spreadsheets/d/1awYsYK3VOup2i3Pq_Yjnu8DRu_mYwSBnCR2QPthd0rU/edit?usp=sharing"",""ศูนย์รวม!E76"")"),2)</f>
        <v>2</v>
      </c>
      <c r="K346" s="47">
        <f ca="1">IF(I346&gt;0,J346*100/I346,0)</f>
        <v>66.666666666666671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6782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IFERROR(__xludf.DUMMYFUNCTION("IMPORTRANGE(""https://docs.google.com/spreadsheets/d/1awYsYK3VOup2i3Pq_Yjnu8DRu_mYwSBnCR2QPthd0rU/edit?usp=sharing"",""โฉนดM3!G76"")"),768)</f>
        <v>768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IFERROR(__xludf.DUMMYFUNCTION("IMPORTRANGE(""https://docs.google.com/spreadsheets/d/1awYsYK3VOup2i3Pq_Yjnu8DRu_mYwSBnCR2QPthd0rU/edit?usp=sharing"",""โฉนดM3!H76"")"),6014)</f>
        <v>6014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492430</v>
      </c>
      <c r="M356" s="132">
        <f ca="1">M357+M358</f>
        <v>501430</v>
      </c>
      <c r="N356" s="132">
        <f ca="1">N357+N358</f>
        <v>301149.28000000003</v>
      </c>
      <c r="O356" s="132">
        <f t="shared" ref="O356:O364" ca="1" si="95">IF(L356&gt;0,N356*100/L356,0)</f>
        <v>61.155754117336478</v>
      </c>
      <c r="P356" s="132">
        <f t="shared" ref="P356:P364" ca="1" si="96">IF(M356&gt;0,N356*100/M356,0)</f>
        <v>60.058089862991849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492430</v>
      </c>
      <c r="M358" s="47">
        <f t="shared" ca="1" si="99"/>
        <v>501430</v>
      </c>
      <c r="N358" s="47">
        <f t="shared" ca="1" si="99"/>
        <v>301149.28000000003</v>
      </c>
      <c r="O358" s="47">
        <f t="shared" ca="1" si="95"/>
        <v>61.155754117336478</v>
      </c>
      <c r="P358" s="47">
        <f t="shared" ca="1" si="96"/>
        <v>60.058089862991849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492430</v>
      </c>
      <c r="M359" s="47">
        <f ca="1">M360+M361</f>
        <v>501430</v>
      </c>
      <c r="N359" s="47">
        <f ca="1">N360+N361</f>
        <v>301149.28000000003</v>
      </c>
      <c r="O359" s="47">
        <f t="shared" ca="1" si="95"/>
        <v>61.155754117336478</v>
      </c>
      <c r="P359" s="47">
        <f t="shared" ca="1" si="96"/>
        <v>60.058089862991849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IFERROR(__xludf.DUMMYFUNCTION("IMPORTRANGE(""https://docs.google.com/spreadsheets/d/1-uDff_7J0KD5mKrp0Vvzr7lt3OU09vwQwhkpOPPYv2Y/edit?usp=sharing"",""งบพรบ!FC76"")"),492430)</f>
        <v>492430</v>
      </c>
      <c r="M361" s="47">
        <f ca="1">IFERROR(__xludf.DUMMYFUNCTION("IMPORTRANGE(""https://docs.google.com/spreadsheets/d/1-uDff_7J0KD5mKrp0Vvzr7lt3OU09vwQwhkpOPPYv2Y/edit?usp=sharing"",""งบพรบ!FH76"")"),501430)</f>
        <v>501430</v>
      </c>
      <c r="N361" s="47">
        <f ca="1">IFERROR(__xludf.DUMMYFUNCTION("IMPORTRANGE(""https://docs.google.com/spreadsheets/d/1-uDff_7J0KD5mKrp0Vvzr7lt3OU09vwQwhkpOPPYv2Y/edit?usp=sharing"",""งบพรบ!FJ76"")"),301149.28)</f>
        <v>301149.28000000003</v>
      </c>
      <c r="O361" s="47">
        <f t="shared" ca="1" si="95"/>
        <v>61.155754117336478</v>
      </c>
      <c r="P361" s="47">
        <f t="shared" ca="1" si="96"/>
        <v>60.058089862991849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280</v>
      </c>
      <c r="J365" s="228">
        <f ca="1">J371</f>
        <v>398</v>
      </c>
      <c r="K365" s="229">
        <f ca="1">IF(I365&gt;0,J365*100/I365,0)</f>
        <v>142.14285714285714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IFERROR(__xludf.DUMMYFUNCTION("IMPORTRANGE(""https://docs.google.com/spreadsheets/d/1tdoBKaGub7dwA3U6UFTqxio9LNnvDCQjHKmttSEBsFQ/edit?usp=sharing"",""จัดที่ดิน!AB76"")"),192)</f>
        <v>192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IFERROR(__xludf.DUMMYFUNCTION("IMPORTRANGE(""https://docs.google.com/spreadsheets/d/1eHaY18a8A9IcSdp1K8H6x8fbOy06t2VsZHhMHf-1x7Y/edit?usp=sharing"",""แผน!EW76"")"),750)</f>
        <v>750</v>
      </c>
      <c r="J368" s="584">
        <f ca="1">IFERROR(__xludf.DUMMYFUNCTION("IMPORTRANGE(""https://docs.google.com/spreadsheets/d/1tdoBKaGub7dwA3U6UFTqxio9LNnvDCQjHKmttSEBsFQ/edit?usp=sharing"",""จัดที่ดิน!AC76"")"),1760.63999999999)</f>
        <v>1760.6399999999901</v>
      </c>
      <c r="K368" s="47">
        <f t="shared" ca="1" si="101"/>
        <v>234.75199999999867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IFERROR(__xludf.DUMMYFUNCTION("IMPORTRANGE(""https://docs.google.com/spreadsheets/d/1eHaY18a8A9IcSdp1K8H6x8fbOy06t2VsZHhMHf-1x7Y/edit?usp=sharing"",""แผน!EX76"")"),280)</f>
        <v>280</v>
      </c>
      <c r="J369" s="152">
        <f ca="1">IFERROR(__xludf.DUMMYFUNCTION("IMPORTRANGE(""https://docs.google.com/spreadsheets/d/1tdoBKaGub7dwA3U6UFTqxio9LNnvDCQjHKmttSEBsFQ/edit?usp=sharing"",""จัดที่ดิน!AD76"")"),476)</f>
        <v>476</v>
      </c>
      <c r="K369" s="47">
        <f t="shared" ca="1" si="101"/>
        <v>170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IFERROR(__xludf.DUMMYFUNCTION("IMPORTRANGE(""https://docs.google.com/spreadsheets/d/1tdoBKaGub7dwA3U6UFTqxio9LNnvDCQjHKmttSEBsFQ/edit?usp=sharing"",""จัดที่ดิน!AE76"")"),5908.65)</f>
        <v>5908.65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IFERROR(__xludf.DUMMYFUNCTION("IMPORTRANGE(""https://docs.google.com/spreadsheets/d/1eHaY18a8A9IcSdp1K8H6x8fbOy06t2VsZHhMHf-1x7Y/edit?usp=sharing"",""แผน!EY76"")"),280)</f>
        <v>280</v>
      </c>
      <c r="J371" s="152">
        <f ca="1">IFERROR(__xludf.DUMMYFUNCTION("IMPORTRANGE(""https://docs.google.com/spreadsheets/d/1tdoBKaGub7dwA3U6UFTqxio9LNnvDCQjHKmttSEBsFQ/edit?usp=sharing"",""จัดที่ดิน!AF76"")"),398)</f>
        <v>398</v>
      </c>
      <c r="K371" s="47">
        <f t="shared" ca="1" si="101"/>
        <v>142.14285714285714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IFERROR(__xludf.DUMMYFUNCTION("IMPORTRANGE(""https://docs.google.com/spreadsheets/d/1tdoBKaGub7dwA3U6UFTqxio9LNnvDCQjHKmttSEBsFQ/edit?usp=sharing"",""จัดที่ดิน!AG76"")"),5126.97)</f>
        <v>5126.97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2000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125000</v>
      </c>
      <c r="R375" s="132">
        <f ca="1">R376+R377</f>
        <v>125000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125000</v>
      </c>
      <c r="R377" s="47">
        <f t="shared" ca="1" si="107"/>
        <v>125000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125000</v>
      </c>
      <c r="R378" s="47">
        <f ca="1">R379+R380</f>
        <v>125000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IFERROR(__xludf.DUMMYFUNCTION("IMPORTRANGE(""https://docs.google.com/spreadsheets/d/1ItG2mGa2ceCfYo0BwxsXqNm01IGEUdYcSSLTEv9YCik/edit?usp=sharing"",""เบิกจ่ายกองทุน!AZ76"")"),125000)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IFERROR(__xludf.DUMMYFUNCTION("IMPORTRANGE(""https://docs.google.com/spreadsheets/d/1ItG2mGa2ceCfYo0BwxsXqNm01IGEUdYcSSLTEv9YCik/edit?usp=sharing"",""เบิกจ่ายกองทุน!BA76"")"),0)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IFERROR(__xludf.DUMMYFUNCTION("IMPORTRANGE(""https://docs.google.com/spreadsheets/d/1w5rwWK1o49a35cNtocGL0gxDwhFSTZUQu90BiH9_zqM/edit?usp=sharing"",""RTK!L76"")"),0)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IFERROR(__xludf.DUMMYFUNCTION("IMPORTRANGE(""https://docs.google.com/spreadsheets/d/1w5rwWK1o49a35cNtocGL0gxDwhFSTZUQu90BiH9_zqM/edit?usp=sharing"",""RTK!K76"")"),0)</f>
        <v>0</v>
      </c>
      <c r="J388" s="483">
        <f ca="1">IFERROR(__xludf.DUMMYFUNCTION("IMPORTRANGE(""https://docs.google.com/spreadsheets/d/1w5rwWK1o49a35cNtocGL0gxDwhFSTZUQu90BiH9_zqM/edit?usp=sharing"",""RTK!M76"")"),0)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IFERROR(__xludf.DUMMYFUNCTION("IMPORTRANGE(""https://docs.google.com/spreadsheets/d/1ItG2mGa2ceCfYo0BwxsXqNm01IGEUdYcSSLTEv9YCik/edit?usp=sharing"",""เบิกจ่ายกองทุน!BH76"")"),0)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IFERROR(__xludf.DUMMYFUNCTION("IMPORTRANGE(""https://docs.google.com/spreadsheets/d/1ItG2mGa2ceCfYo0BwxsXqNm01IGEUdYcSSLTEv9YCik/edit?usp=sharing"",""เบิกจ่ายกองทุน!BI76"")"),0)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IFERROR(__xludf.DUMMYFUNCTION("IMPORTRANGE(""https://docs.google.com/spreadsheets/d/1ItG2mGa2ceCfYo0BwxsXqNm01IGEUdYcSSLTEv9YCik/edit?usp=sharing"",""เบิกจ่ายกองทุน!BJ76"")"),0)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IFERROR(__xludf.DUMMYFUNCTION("IMPORTRANGE(""https://docs.google.com/spreadsheets/d/1eHaY18a8A9IcSdp1K8H6x8fbOy06t2VsZHhMHf-1x7Y/edit?usp=sharing"",""แผน!HN76"")"),0)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IFERROR(__xludf.DUMMYFUNCTION("IMPORTRANGE(""https://docs.google.com/spreadsheets/d/1eHaY18a8A9IcSdp1K8H6x8fbOy06t2VsZHhMHf-1x7Y/edit?usp=sharing"",""แผน!HO76"")"),0)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50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648025</v>
      </c>
      <c r="R493" s="132">
        <f ca="1">R494+R495</f>
        <v>648025</v>
      </c>
      <c r="S493" s="132">
        <f ca="1">S494+S495</f>
        <v>85047</v>
      </c>
      <c r="T493" s="132">
        <f t="shared" ref="T493:T501" ca="1" si="122">IF(Q493&gt;0,S493*100/Q493,0)</f>
        <v>13.124030708691794</v>
      </c>
      <c r="U493" s="132">
        <f t="shared" ref="U493:U501" ca="1" si="123">IF(R493&gt;0,S493*100/R493,0)</f>
        <v>13.124030708691794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648025</v>
      </c>
      <c r="R495" s="47">
        <f t="shared" ca="1" si="125"/>
        <v>648025</v>
      </c>
      <c r="S495" s="47">
        <f t="shared" ca="1" si="125"/>
        <v>85047</v>
      </c>
      <c r="T495" s="47">
        <f t="shared" ca="1" si="122"/>
        <v>13.124030708691794</v>
      </c>
      <c r="U495" s="47">
        <f t="shared" ca="1" si="123"/>
        <v>13.124030708691794</v>
      </c>
    </row>
    <row r="496" spans="1:21" ht="18.75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648025</v>
      </c>
      <c r="R496" s="47">
        <f ca="1">R497+R498</f>
        <v>648025</v>
      </c>
      <c r="S496" s="47">
        <f ca="1">S497+S498</f>
        <v>85047</v>
      </c>
      <c r="T496" s="47">
        <f t="shared" ca="1" si="122"/>
        <v>13.124030708691794</v>
      </c>
      <c r="U496" s="47">
        <f t="shared" ca="1" si="123"/>
        <v>13.124030708691794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IFERROR(__xludf.DUMMYFUNCTION("IMPORTRANGE(""https://docs.google.com/spreadsheets/d/1ItG2mGa2ceCfYo0BwxsXqNm01IGEUdYcSSLTEv9YCik/edit?usp=sharing"",""เบิกจ่ายกองทุน!Y76"")"),648025)</f>
        <v>648025</v>
      </c>
      <c r="S498" s="47">
        <f ca="1">IFERROR(__xludf.DUMMYFUNCTION("IMPORTRANGE(""https://docs.google.com/spreadsheets/d/1ItG2mGa2ceCfYo0BwxsXqNm01IGEUdYcSSLTEv9YCik/edit?usp=sharing"",""เบิกจ่ายกองทุน!Z76"")"),85047)</f>
        <v>85047</v>
      </c>
      <c r="T498" s="47">
        <f t="shared" ca="1" si="122"/>
        <v>13.124030708691794</v>
      </c>
      <c r="U498" s="47">
        <f t="shared" ca="1" si="123"/>
        <v>13.124030708691794</v>
      </c>
    </row>
    <row r="499" spans="1:21" ht="18.75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 ca="1">IF(AND(J504=I503,J505=I503,J506=I503,J507=I503),I503,0)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t="shared" ref="T616:T624" ca="1" si="159">IF(Q616&gt;0,S616*100/Q616,0)</f>
        <v>0</v>
      </c>
      <c r="U616" s="132">
        <f t="shared" ref="U616:U624" ca="1" si="160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7300</v>
      </c>
      <c r="R618" s="47">
        <f t="shared" ca="1" si="162"/>
        <v>7300</v>
      </c>
      <c r="S618" s="47">
        <f t="shared" ca="1" si="162"/>
        <v>0</v>
      </c>
      <c r="T618" s="47">
        <f t="shared" ca="1" si="159"/>
        <v>0</v>
      </c>
      <c r="U618" s="47">
        <f t="shared" ca="1" si="160"/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t="shared" ca="1" si="159"/>
        <v>0</v>
      </c>
      <c r="U619" s="47">
        <f t="shared" ca="1" si="160"/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t="shared" ca="1" si="159"/>
        <v>0</v>
      </c>
      <c r="U621" s="47">
        <f t="shared" ca="1" si="160"/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65890</v>
      </c>
      <c r="R692" s="47">
        <f t="shared" ca="1" si="174"/>
        <v>65890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65890</v>
      </c>
      <c r="R693" s="47">
        <f ca="1">R694+R695</f>
        <v>65890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IFERROR(__xludf.DUMMYFUNCTION("IMPORTRANGE(""https://docs.google.com/spreadsheets/d/1eHaY18a8A9IcSdp1K8H6x8fbOy06t2VsZHhMHf-1x7Y/edit?usp=sharing"",""แผน!GA76"")"),21)</f>
        <v>21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IFERROR(__xludf.DUMMYFUNCTION("IMPORTRANGE(""https://docs.google.com/spreadsheets/d/1eHaY18a8A9IcSdp1K8H6x8fbOy06t2VsZHhMHf-1x7Y/edit?usp=sharing"",""แผน!FZ76"")"),200)</f>
        <v>200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39610</v>
      </c>
      <c r="T728" s="132">
        <f t="shared" ref="T728:T736" ca="1" si="184">IF(Q728&gt;0,S728*100/Q728,0)</f>
        <v>22.506449083491482</v>
      </c>
      <c r="U728" s="132">
        <f t="shared" ref="U728:U736" ca="1" si="185">IF(R728&gt;0,S728*100/R728,0)</f>
        <v>19.756202180613883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175994</v>
      </c>
      <c r="R730" s="47">
        <f t="shared" ca="1" si="187"/>
        <v>200494</v>
      </c>
      <c r="S730" s="47">
        <f t="shared" ca="1" si="187"/>
        <v>39610</v>
      </c>
      <c r="T730" s="47">
        <f t="shared" ca="1" si="184"/>
        <v>22.506449083491482</v>
      </c>
      <c r="U730" s="47">
        <f t="shared" ca="1" si="185"/>
        <v>19.756202180613883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39610</v>
      </c>
      <c r="T731" s="47">
        <f t="shared" ca="1" si="184"/>
        <v>22.506449083491482</v>
      </c>
      <c r="U731" s="47">
        <f t="shared" ca="1" si="185"/>
        <v>19.756202180613883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IFERROR(__xludf.DUMMYFUNCTION("IMPORTRANGE(""https://docs.google.com/spreadsheets/d/1ItG2mGa2ceCfYo0BwxsXqNm01IGEUdYcSSLTEv9YCik/edit?usp=sharing"",""เบิกจ่ายกองทุน!Q76"")"),39610)</f>
        <v>39610</v>
      </c>
      <c r="T733" s="47">
        <f t="shared" ca="1" si="184"/>
        <v>22.506449083491482</v>
      </c>
      <c r="U733" s="47">
        <f t="shared" ca="1" si="185"/>
        <v>19.756202180613883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IFERROR(__xludf.DUMMYFUNCTION("IMPORTRANGE(""https://docs.google.com/spreadsheets/d/1eHaY18a8A9IcSdp1K8H6x8fbOy06t2VsZHhMHf-1x7Y/edit?usp=sharing"",""แผน!GB76"")"),160)</f>
        <v>160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IFERROR(__xludf.DUMMYFUNCTION("IMPORTRANGE(""https://docs.google.com/spreadsheets/d/1eHaY18a8A9IcSdp1K8H6x8fbOy06t2VsZHhMHf-1x7Y/edit?usp=sharing"",""แผน!GC76"")"),16)</f>
        <v>16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IFERROR(__xludf.DUMMYFUNCTION("IMPORTRANGE(""https://docs.google.com/spreadsheets/d/1eHaY18a8A9IcSdp1K8H6x8fbOy06t2VsZHhMHf-1x7Y/edit?usp=sharing"",""แผน!GD76"")"),40)</f>
        <v>40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IFERROR(__xludf.DUMMYFUNCTION("IMPORTRANGE(""https://docs.google.com/spreadsheets/d/1eHaY18a8A9IcSdp1K8H6x8fbOy06t2VsZHhMHf-1x7Y/edit?usp=sharing"",""แผน!GE76"")"),4)</f>
        <v>4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IFERROR(__xludf.DUMMYFUNCTION("IMPORTRANGE(""https://docs.google.com/spreadsheets/d/1eHaY18a8A9IcSdp1K8H6x8fbOy06t2VsZHhMHf-1x7Y/edit?usp=sharing"",""แผน!GF76"")"),1)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IFERROR(__xludf.DUMMYFUNCTION("IMPORTRANGE(""https://docs.google.com/spreadsheets/d/1eHaY18a8A9IcSdp1K8H6x8fbOy06t2VsZHhMHf-1x7Y/edit?usp=sharing"",""แผน!GB76"")"),160)</f>
        <v>160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IFERROR(__xludf.DUMMYFUNCTION("IMPORTRANGE(""https://docs.google.com/spreadsheets/d/1eHaY18a8A9IcSdp1K8H6x8fbOy06t2VsZHhMHf-1x7Y/edit?usp=sharing"",""แผน!GD76"")"),40)</f>
        <v>40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40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200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47787</v>
      </c>
      <c r="T760" s="132">
        <f t="shared" ref="T760:T768" ca="1" si="190">IF(Q760&gt;0,S760*100/Q760,0)</f>
        <v>10.29936635199793</v>
      </c>
      <c r="U760" s="132">
        <f t="shared" ref="U760:U768" ca="1" si="191">IF(R760&gt;0,S760*100/R760,0)</f>
        <v>10.29936635199793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463980</v>
      </c>
      <c r="R762" s="47">
        <f t="shared" ca="1" si="193"/>
        <v>463980</v>
      </c>
      <c r="S762" s="47">
        <f t="shared" ca="1" si="193"/>
        <v>47787</v>
      </c>
      <c r="T762" s="47">
        <f t="shared" ca="1" si="190"/>
        <v>10.29936635199793</v>
      </c>
      <c r="U762" s="47">
        <f t="shared" ca="1" si="191"/>
        <v>10.29936635199793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47787</v>
      </c>
      <c r="T763" s="47">
        <f t="shared" ca="1" si="190"/>
        <v>10.29936635199793</v>
      </c>
      <c r="U763" s="47">
        <f t="shared" ca="1" si="191"/>
        <v>10.29936635199793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IFERROR(__xludf.DUMMYFUNCTION("IMPORTRANGE(""https://docs.google.com/spreadsheets/d/1ItG2mGa2ceCfYo0BwxsXqNm01IGEUdYcSSLTEv9YCik/edit?usp=sharing"",""เบิกจ่ายกองทุน!V76"")"),463980)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IFERROR(__xludf.DUMMYFUNCTION("IMPORTRANGE(""https://docs.google.com/spreadsheets/d/1ItG2mGa2ceCfYo0BwxsXqNm01IGEUdYcSSLTEv9YCik/edit?usp=sharing"",""เบิกจ่ายกองทุน!W76"")"),47787)</f>
        <v>47787</v>
      </c>
      <c r="T765" s="47">
        <f t="shared" ca="1" si="190"/>
        <v>10.29936635199793</v>
      </c>
      <c r="U765" s="47">
        <f t="shared" ca="1" si="191"/>
        <v>10.29936635199793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IFERROR(__xludf.DUMMYFUNCTION("IMPORTRANGE(""https://docs.google.com/spreadsheets/d/1eHaY18a8A9IcSdp1K8H6x8fbOy06t2VsZHhMHf-1x7Y/edit?usp=sharing"",""แผน!FI76"")"),0)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IFERROR(__xludf.DUMMYFUNCTION("IMPORTRANGE(""https://docs.google.com/spreadsheets/d/10OvvATaaLtwErnr3qtWFcTmtbfpFEt5Bsqel9sXx0uE/edit?usp=sharing"",""งานกองทุน!D76"")"),1026666.03)</f>
        <v>1026666.03</v>
      </c>
      <c r="J778" s="152">
        <f ca="1">IFERROR(__xludf.DUMMYFUNCTION("IMPORTRANGE(""https://docs.google.com/spreadsheets/d/10OvvATaaLtwErnr3qtWFcTmtbfpFEt5Bsqel9sXx0uE/edit?usp=sharing"",""งานกองทุน!F76"")"),121463.72)</f>
        <v>121463.72</v>
      </c>
      <c r="K778" s="47">
        <f t="shared" ref="K778:K785" ca="1" si="194">IF(I778&gt;0,J778*100/I778,0)</f>
        <v>11.830889154869572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IFERROR(__xludf.DUMMYFUNCTION("IMPORTRANGE(""https://docs.google.com/spreadsheets/d/10OvvATaaLtwErnr3qtWFcTmtbfpFEt5Bsqel9sXx0uE/edit?usp=sharing"",""งานกองทุน!C76"")"),103)</f>
        <v>103</v>
      </c>
      <c r="J779" s="152">
        <f ca="1">IFERROR(__xludf.DUMMYFUNCTION("IMPORTRANGE(""https://docs.google.com/spreadsheets/d/10OvvATaaLtwErnr3qtWFcTmtbfpFEt5Bsqel9sXx0uE/edit?usp=sharing"",""งานกองทุน!E76"")"),14)</f>
        <v>14</v>
      </c>
      <c r="K779" s="47">
        <f t="shared" ca="1" si="194"/>
        <v>13.592233009708737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IFERROR(__xludf.DUMMYFUNCTION("IMPORTRANGE(""https://docs.google.com/spreadsheets/d/10OvvATaaLtwErnr3qtWFcTmtbfpFEt5Bsqel9sXx0uE/edit?usp=sharing"",""งานกองทุน!K76"")"),147484.86)</f>
        <v>147484.85999999999</v>
      </c>
      <c r="K780" s="47">
        <f t="shared" ca="1" si="194"/>
        <v>37.347536139033188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IFERROR(__xludf.DUMMYFUNCTION("IMPORTRANGE(""https://docs.google.com/spreadsheets/d/10OvvATaaLtwErnr3qtWFcTmtbfpFEt5Bsqel9sXx0uE/edit?usp=sharing"",""งานกองทุน!J76"")"),8)</f>
        <v>8</v>
      </c>
      <c r="K781" s="47">
        <f t="shared" ca="1" si="194"/>
        <v>47.058823529411768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IFERROR(__xludf.DUMMYFUNCTION("IMPORTRANGE(""https://docs.google.com/spreadsheets/d/10OvvATaaLtwErnr3qtWFcTmtbfpFEt5Bsqel9sXx0uE/edit?usp=sharing"",""งานกองทุน!U76"")"),0)</f>
        <v>0</v>
      </c>
      <c r="K784" s="47">
        <f t="shared" ca="1" si="194"/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IFERROR(__xludf.DUMMYFUNCTION("IMPORTRANGE(""https://docs.google.com/spreadsheets/d/10OvvATaaLtwErnr3qtWFcTmtbfpFEt5Bsqel9sXx0uE/edit?usp=sharing"",""งานกองทุน!T76"")"),0)</f>
        <v>0</v>
      </c>
      <c r="K785" s="111">
        <f t="shared" ca="1" si="194"/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06AE-AC2F-4BE1-B3CA-1C8FC00C34A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7" width="21.28515625" bestFit="1" customWidth="1"/>
    <col min="18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1510550</v>
      </c>
      <c r="M18" s="35">
        <f ca="1">M19+M20</f>
        <v>1541450</v>
      </c>
      <c r="N18" s="35">
        <f ca="1">N19+N20</f>
        <v>1379837.23</v>
      </c>
      <c r="O18" s="35">
        <f t="shared" ref="O18:O26" ca="1" si="0">IF(L18&gt;0,N18*100/L18,0)</f>
        <v>91.346677038164913</v>
      </c>
      <c r="P18" s="35">
        <f t="shared" ref="P18:P26" ca="1" si="1">IF(M18&gt;0,N18*100/M18,0)</f>
        <v>89.515536021278663</v>
      </c>
      <c r="Q18" s="35">
        <f ca="1">Q19+Q20</f>
        <v>1010852.17</v>
      </c>
      <c r="R18" s="35">
        <f ca="1">R19+R20</f>
        <v>948352</v>
      </c>
      <c r="S18" s="35">
        <f ca="1">S19+S20</f>
        <v>118476.47</v>
      </c>
      <c r="T18" s="35">
        <f t="shared" ref="T18:T26" ca="1" si="2">IF(Q18&gt;0,S18*100/Q18,0)</f>
        <v>11.72045463383632</v>
      </c>
      <c r="U18" s="35">
        <f t="shared" ref="U18:U26" ca="1" si="3">IF(R18&gt;0,S18*100/R18,0)</f>
        <v>12.49287922627885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1510550</v>
      </c>
      <c r="M20" s="39">
        <f t="shared" ca="1" si="4"/>
        <v>1541450</v>
      </c>
      <c r="N20" s="39">
        <f t="shared" ca="1" si="4"/>
        <v>1379837.23</v>
      </c>
      <c r="O20" s="39">
        <f t="shared" ca="1" si="0"/>
        <v>91.346677038164913</v>
      </c>
      <c r="P20" s="39">
        <f t="shared" ca="1" si="1"/>
        <v>89.515536021278663</v>
      </c>
      <c r="Q20" s="39">
        <f t="shared" ca="1" si="5"/>
        <v>1010852.17</v>
      </c>
      <c r="R20" s="39">
        <f t="shared" ca="1" si="5"/>
        <v>948352</v>
      </c>
      <c r="S20" s="39">
        <f t="shared" ca="1" si="5"/>
        <v>118476.47</v>
      </c>
      <c r="T20" s="39">
        <f t="shared" ca="1" si="2"/>
        <v>11.72045463383632</v>
      </c>
      <c r="U20" s="39">
        <f t="shared" ca="1" si="3"/>
        <v>12.49287922627885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1510550</v>
      </c>
      <c r="M21" s="47">
        <f ca="1">M22+M23</f>
        <v>1541450</v>
      </c>
      <c r="N21" s="47">
        <f ca="1">N22+N23</f>
        <v>1379837.23</v>
      </c>
      <c r="O21" s="47">
        <f t="shared" ca="1" si="0"/>
        <v>91.346677038164913</v>
      </c>
      <c r="P21" s="47">
        <f t="shared" ca="1" si="1"/>
        <v>89.515536021278663</v>
      </c>
      <c r="Q21" s="47">
        <f ca="1">Q22+Q23</f>
        <v>1010852.17</v>
      </c>
      <c r="R21" s="47">
        <f ca="1">R22+R23</f>
        <v>948352</v>
      </c>
      <c r="S21" s="47">
        <f ca="1">S22+S23</f>
        <v>118476.47</v>
      </c>
      <c r="T21" s="47">
        <f t="shared" ca="1" si="2"/>
        <v>11.72045463383632</v>
      </c>
      <c r="U21" s="47">
        <f t="shared" ca="1" si="3"/>
        <v>12.49287922627885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1510550</v>
      </c>
      <c r="M23" s="47">
        <f t="shared" ca="1" si="6"/>
        <v>1541450</v>
      </c>
      <c r="N23" s="47">
        <f t="shared" ca="1" si="6"/>
        <v>1379837.23</v>
      </c>
      <c r="O23" s="47">
        <f t="shared" ca="1" si="0"/>
        <v>91.346677038164913</v>
      </c>
      <c r="P23" s="47">
        <f t="shared" ca="1" si="1"/>
        <v>89.515536021278663</v>
      </c>
      <c r="Q23" s="47">
        <f t="shared" ca="1" si="7"/>
        <v>1010852.17</v>
      </c>
      <c r="R23" s="47">
        <f t="shared" ca="1" si="7"/>
        <v>948352</v>
      </c>
      <c r="S23" s="47">
        <f t="shared" ca="1" si="7"/>
        <v>118476.47</v>
      </c>
      <c r="T23" s="47">
        <f t="shared" ca="1" si="2"/>
        <v>11.72045463383632</v>
      </c>
      <c r="U23" s="47">
        <f t="shared" ca="1" si="3"/>
        <v>12.49287922627885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1510550</v>
      </c>
      <c r="M40" s="703">
        <f ca="1">M44+M59+M72+M94+M125+M139+M157+M173+M186+M266+M282+M303+M320+M333+M356</f>
        <v>1541450</v>
      </c>
      <c r="N40" s="703">
        <f ca="1">N44+N59+N72+N94+N125+N139+N157+N173+N186+N266+N282+N303+N320+N333+N356</f>
        <v>1379837.23</v>
      </c>
      <c r="O40" s="703">
        <f ca="1">IF(L40&gt;0,N40*100/L40,0)</f>
        <v>91.346677038164913</v>
      </c>
      <c r="P40" s="703">
        <f ca="1">IF(M40&gt;0,N40*100/M40,0)</f>
        <v>89.515536021278663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231100</v>
      </c>
      <c r="M44" s="79">
        <f ca="1">M45+M46</f>
        <v>239050</v>
      </c>
      <c r="N44" s="79">
        <f ca="1">N45+N46</f>
        <v>214207.96</v>
      </c>
      <c r="O44" s="79">
        <f t="shared" ref="O44:O52" ca="1" si="10">IF(L44&gt;0,N44*100/L44,0)</f>
        <v>92.690592816962351</v>
      </c>
      <c r="P44" s="79">
        <f t="shared" ref="P44:P52" ca="1" si="11">IF(M44&gt;0,N44*100/M44,0)</f>
        <v>89.608015059610963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231100</v>
      </c>
      <c r="M46" s="83">
        <f t="shared" ca="1" si="14"/>
        <v>239050</v>
      </c>
      <c r="N46" s="83">
        <f t="shared" ca="1" si="14"/>
        <v>214207.96</v>
      </c>
      <c r="O46" s="83">
        <f t="shared" ca="1" si="10"/>
        <v>92.690592816962351</v>
      </c>
      <c r="P46" s="83">
        <f t="shared" ca="1" si="11"/>
        <v>89.608015059610963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231100</v>
      </c>
      <c r="M47" s="47">
        <f ca="1">M48+M49</f>
        <v>239050</v>
      </c>
      <c r="N47" s="47">
        <f ca="1">N48+N49</f>
        <v>214207.96</v>
      </c>
      <c r="O47" s="47">
        <f t="shared" ca="1" si="10"/>
        <v>92.690592816962351</v>
      </c>
      <c r="P47" s="47">
        <f t="shared" ca="1" si="11"/>
        <v>89.608015059610963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IFERROR(__xludf.DUMMYFUNCTION("IMPORTRANGE(""https://docs.google.com/spreadsheets/d/1-uDff_7J0KD5mKrp0Vvzr7lt3OU09vwQwhkpOPPYv2Y/edit?usp=sharing"",""งบพรบ!P77"")"),231100)</f>
        <v>231100</v>
      </c>
      <c r="M49" s="47">
        <f ca="1">IFERROR(__xludf.DUMMYFUNCTION("IMPORTRANGE(""https://docs.google.com/spreadsheets/d/1-uDff_7J0KD5mKrp0Vvzr7lt3OU09vwQwhkpOPPYv2Y/edit?usp=sharing"",""งบพรบ!V77"")"),239050)</f>
        <v>239050</v>
      </c>
      <c r="N49" s="47">
        <f ca="1">IFERROR(__xludf.DUMMYFUNCTION("IMPORTRANGE(""https://docs.google.com/spreadsheets/d/1-uDff_7J0KD5mKrp0Vvzr7lt3OU09vwQwhkpOPPYv2Y/edit?usp=sharing"",""งบพรบ!Y77"")"),214207.96)</f>
        <v>214207.96</v>
      </c>
      <c r="O49" s="47">
        <f t="shared" ca="1" si="10"/>
        <v>92.690592816962351</v>
      </c>
      <c r="P49" s="47">
        <f t="shared" ca="1" si="11"/>
        <v>89.608015059610963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494400</v>
      </c>
      <c r="M59" s="106">
        <f ca="1">M60+M61</f>
        <v>494400</v>
      </c>
      <c r="N59" s="106">
        <f ca="1">N60+N61</f>
        <v>488275.21</v>
      </c>
      <c r="O59" s="106">
        <f t="shared" ref="O59:O67" ca="1" si="16">IF(L59&gt;0,N59*100/L59,0)</f>
        <v>98.761167071197406</v>
      </c>
      <c r="P59" s="106">
        <f t="shared" ref="P59:P67" ca="1" si="17">IF(M59&gt;0,N59*100/M59,0)</f>
        <v>98.761167071197406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494400</v>
      </c>
      <c r="M61" s="109">
        <f t="shared" ca="1" si="20"/>
        <v>494400</v>
      </c>
      <c r="N61" s="109">
        <f t="shared" ca="1" si="20"/>
        <v>488275.21</v>
      </c>
      <c r="O61" s="109">
        <f t="shared" ca="1" si="16"/>
        <v>98.761167071197406</v>
      </c>
      <c r="P61" s="109">
        <f t="shared" ca="1" si="17"/>
        <v>98.761167071197406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494400</v>
      </c>
      <c r="M62" s="47">
        <f ca="1">M63+M64</f>
        <v>494400</v>
      </c>
      <c r="N62" s="47">
        <f ca="1">N63+N64</f>
        <v>488275.21</v>
      </c>
      <c r="O62" s="47">
        <f t="shared" ca="1" si="16"/>
        <v>98.761167071197406</v>
      </c>
      <c r="P62" s="47">
        <f t="shared" ca="1" si="17"/>
        <v>98.761167071197406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IFERROR(__xludf.DUMMYFUNCTION("IMPORTRANGE(""https://docs.google.com/spreadsheets/d/1-uDff_7J0KD5mKrp0Vvzr7lt3OU09vwQwhkpOPPYv2Y/edit?usp=sharing"",""งบพรบ!AC77"")"),494400)</f>
        <v>494400</v>
      </c>
      <c r="M64" s="47">
        <f ca="1">IFERROR(__xludf.DUMMYFUNCTION("IMPORTRANGE(""https://docs.google.com/spreadsheets/d/1-uDff_7J0KD5mKrp0Vvzr7lt3OU09vwQwhkpOPPYv2Y/edit?usp=sharing"",""งบพรบ!AH77"")"),494400)</f>
        <v>494400</v>
      </c>
      <c r="N64" s="47">
        <f ca="1">IFERROR(__xludf.DUMMYFUNCTION("IMPORTRANGE(""https://docs.google.com/spreadsheets/d/1-uDff_7J0KD5mKrp0Vvzr7lt3OU09vwQwhkpOPPYv2Y/edit?usp=sharing"",""งบพรบ!AJ77"")"),488275.21)</f>
        <v>488275.21</v>
      </c>
      <c r="O64" s="47">
        <f t="shared" ca="1" si="16"/>
        <v>98.761167071197406</v>
      </c>
      <c r="P64" s="47">
        <f t="shared" ca="1" si="17"/>
        <v>98.761167071197406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IFERROR(__xludf.DUMMYFUNCTION("IMPORTRANGE(""https://docs.google.com/spreadsheets/d/1ItG2mGa2ceCfYo0BwxsXqNm01IGEUdYcSSLTEv9YCik/edit?usp=sharing"",""เบิกจ่ายกองทุน!AS77"")"),0)</f>
        <v>0</v>
      </c>
      <c r="R77" s="47">
        <f ca="1">IFERROR(__xludf.DUMMYFUNCTION("IMPORTRANGE(""https://docs.google.com/spreadsheets/d/1ItG2mGa2ceCfYo0BwxsXqNm01IGEUdYcSSLTEv9YCik/edit?usp=sharing"",""เบิกจ่ายกองทุน!AT77"")"),0)</f>
        <v>0</v>
      </c>
      <c r="S77" s="47">
        <f ca="1">IFERROR(__xludf.DUMMYFUNCTION("IMPORTRANGE(""https://docs.google.com/spreadsheets/d/1ItG2mGa2ceCfYo0BwxsXqNm01IGEUdYcSSLTEv9YCik/edit?usp=sharing"",""เบิกจ่ายกองทุน!AU77"")"),0)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IFERROR(__xludf.DUMMYFUNCTION("IMPORTRANGE(""https://docs.google.com/spreadsheets/d/1ItG2mGa2ceCfYo0BwxsXqNm01IGEUdYcSSLTEv9YCik/edit?usp=sharing"",""เบิกจ่ายกองทุน!AE77"")"),0)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IFERROR(__xludf.DUMMYFUNCTION("IMPORTRANGE(""https://docs.google.com/spreadsheets/d/1ItG2mGa2ceCfYo0BwxsXqNm01IGEUdYcSSLTEv9YCik/edit?usp=sharing"",""เบิกจ่ายกองทุน!AF77"")"),0)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77641.67</v>
      </c>
      <c r="T117" s="132">
        <f t="shared" ref="T117:T125" ca="1" si="37">IF(Q117&gt;0,S117*100/Q117,0)</f>
        <v>40.552423482711795</v>
      </c>
      <c r="U117" s="132">
        <f t="shared" ref="U117:U125" ca="1" si="38">IF(R117&gt;0,S117*100/R117,0)</f>
        <v>40.552423482711795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191460</v>
      </c>
      <c r="R119" s="47">
        <f t="shared" ca="1" si="40"/>
        <v>191460</v>
      </c>
      <c r="S119" s="47">
        <f t="shared" ca="1" si="40"/>
        <v>77641.67</v>
      </c>
      <c r="T119" s="47">
        <f t="shared" ca="1" si="37"/>
        <v>40.552423482711795</v>
      </c>
      <c r="U119" s="47">
        <f t="shared" ca="1" si="38"/>
        <v>40.552423482711795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77641.67</v>
      </c>
      <c r="T120" s="47">
        <f t="shared" ca="1" si="37"/>
        <v>40.552423482711795</v>
      </c>
      <c r="U120" s="47">
        <f t="shared" ca="1" si="38"/>
        <v>40.552423482711795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IFERROR(__xludf.DUMMYFUNCTION("IMPORTRANGE(""https://docs.google.com/spreadsheets/d/1ItG2mGa2ceCfYo0BwxsXqNm01IGEUdYcSSLTEv9YCik/edit?usp=sharing"",""เบิกจ่ายกองทุน!S77"")"),191460)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IFERROR(__xludf.DUMMYFUNCTION("IMPORTRANGE(""https://docs.google.com/spreadsheets/d/1ItG2mGa2ceCfYo0BwxsXqNm01IGEUdYcSSLTEv9YCik/edit?usp=sharing"",""เบิกจ่ายกองทุน!T77"")"),77641.67)</f>
        <v>77641.67</v>
      </c>
      <c r="T122" s="47">
        <f t="shared" ca="1" si="37"/>
        <v>40.552423482711795</v>
      </c>
      <c r="U122" s="47">
        <f t="shared" ca="1" si="38"/>
        <v>40.552423482711795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137700</v>
      </c>
      <c r="M139" s="132">
        <f ca="1">M140+M141</f>
        <v>132700</v>
      </c>
      <c r="N139" s="132">
        <f ca="1">N140+N141</f>
        <v>89170.49</v>
      </c>
      <c r="O139" s="132">
        <f t="shared" ref="O139:O147" ca="1" si="41">IF(L139&gt;0,N139*100/L139,0)</f>
        <v>64.757073347857656</v>
      </c>
      <c r="P139" s="132">
        <f t="shared" ref="P139:P147" ca="1" si="42">IF(M139&gt;0,N139*100/M139,0)</f>
        <v>67.197053504144691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137700</v>
      </c>
      <c r="M141" s="47">
        <f t="shared" ca="1" si="45"/>
        <v>132700</v>
      </c>
      <c r="N141" s="47">
        <f t="shared" ca="1" si="45"/>
        <v>89170.49</v>
      </c>
      <c r="O141" s="47">
        <f t="shared" ca="1" si="41"/>
        <v>64.757073347857656</v>
      </c>
      <c r="P141" s="47">
        <f t="shared" ca="1" si="42"/>
        <v>67.197053504144691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137700</v>
      </c>
      <c r="M142" s="47">
        <f ca="1">M143+M144</f>
        <v>132700</v>
      </c>
      <c r="N142" s="47">
        <f ca="1">N143+N144</f>
        <v>89170.49</v>
      </c>
      <c r="O142" s="47">
        <f t="shared" ca="1" si="41"/>
        <v>64.757073347857656</v>
      </c>
      <c r="P142" s="47">
        <f t="shared" ca="1" si="42"/>
        <v>67.197053504144691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IFERROR(__xludf.DUMMYFUNCTION("IMPORTRANGE(""https://docs.google.com/spreadsheets/d/1-uDff_7J0KD5mKrp0Vvzr7lt3OU09vwQwhkpOPPYv2Y/edit?usp=sharing"",""งบพรบ!BX77"")"),89170.49)</f>
        <v>89170.49</v>
      </c>
      <c r="O144" s="47">
        <f t="shared" ca="1" si="41"/>
        <v>64.757073347857656</v>
      </c>
      <c r="P144" s="47">
        <f t="shared" ca="1" si="42"/>
        <v>67.197053504144691</v>
      </c>
      <c r="Q144" s="47">
        <f ca="1">IFERROR(__xludf.DUMMYFUNCTION("IMPORTRANGE(""https://docs.google.com/spreadsheets/d/1ItG2mGa2ceCfYo0BwxsXqNm01IGEUdYcSSLTEv9YCik/edit?usp=sharing"",""เบิกจ่ายกองทุน!BB77"")"),0)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IFERROR(__xludf.DUMMYFUNCTION("IMPORTRANGE(""https://docs.google.com/spreadsheets/d/1ItG2mGa2ceCfYo0BwxsXqNm01IGEUdYcSSLTEv9YCik/edit?usp=sharing"",""เบิกจ่ายกองทุน!BC77"")"),0)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IFERROR(__xludf.DUMMYFUNCTION("IMPORTRANGE(""https://docs.google.com/spreadsheets/d/1ItG2mGa2ceCfYo0BwxsXqNm01IGEUdYcSSLTEv9YCik/edit?usp=sharing"",""เบิกจ่ายกองทุน!BD77"")"),0)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IFERROR(__xludf.DUMMYFUNCTION("IMPORTRANGE(""https://docs.google.com/spreadsheets/d/1ItG2mGa2ceCfYo0BwxsXqNm01IGEUdYcSSLTEv9YCik/edit?usp=sharing"",""เบิกจ่ายกองทุน!AI77"")"),0)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IFERROR(__xludf.DUMMYFUNCTION("IMPORTRANGE(""https://docs.google.com/spreadsheets/d/1eHaY18a8A9IcSdp1K8H6x8fbOy06t2VsZHhMHf-1x7Y/edit?usp=sharing"",""แผน!Z77"")"),0)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IFERROR(__xludf.DUMMYFUNCTION("IMPORTRANGE(""https://docs.google.com/spreadsheets/d/1eHaY18a8A9IcSdp1K8H6x8fbOy06t2VsZHhMHf-1x7Y/edit?usp=sharing"",""แผน!Z77"")"),0)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t="shared" ref="O173:O181" ca="1" si="53">IF(L173&gt;0,N173*100/L173,0)</f>
        <v>188.0551301684533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36840</v>
      </c>
      <c r="N175" s="47">
        <f t="shared" ca="1" si="57"/>
        <v>36840</v>
      </c>
      <c r="O175" s="47">
        <f t="shared" ca="1" si="53"/>
        <v>188.0551301684533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t="shared" ca="1" si="53"/>
        <v>188.0551301684533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t="shared" ca="1" si="53"/>
        <v>188.0551301684533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IFERROR(__xludf.DUMMYFUNCTION("IMPORTRANGE(""https://docs.google.com/spreadsheets/d/1ItG2mGa2ceCfYo0BwxsXqNm01IGEUdYcSSLTEv9YCik/edit?usp=sharing"",""เบิกจ่ายกองทุน!BG77"")"),0)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23500</v>
      </c>
      <c r="M186" s="132">
        <f ca="1">M187+M188</f>
        <v>24200</v>
      </c>
      <c r="N186" s="132">
        <f ca="1">N187+N188</f>
        <v>6700</v>
      </c>
      <c r="O186" s="132">
        <f t="shared" ref="O186:O194" ca="1" si="59">IF(L186&gt;0,N186*100/L186,0)</f>
        <v>28.51063829787234</v>
      </c>
      <c r="P186" s="132">
        <f t="shared" ref="P186:P194" ca="1" si="60">IF(M186&gt;0,N186*100/M186,0)</f>
        <v>27.685950413223139</v>
      </c>
      <c r="Q186" s="132">
        <f ca="1">Q187+Q188</f>
        <v>14000</v>
      </c>
      <c r="R186" s="132">
        <f ca="1">R187+R188</f>
        <v>14000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23500</v>
      </c>
      <c r="M188" s="47">
        <f t="shared" ca="1" si="63"/>
        <v>24200</v>
      </c>
      <c r="N188" s="47">
        <f t="shared" ca="1" si="63"/>
        <v>6700</v>
      </c>
      <c r="O188" s="47">
        <f t="shared" ca="1" si="59"/>
        <v>28.51063829787234</v>
      </c>
      <c r="P188" s="47">
        <f t="shared" ca="1" si="60"/>
        <v>27.685950413223139</v>
      </c>
      <c r="Q188" s="47">
        <f t="shared" ca="1" si="64"/>
        <v>14000</v>
      </c>
      <c r="R188" s="47">
        <f t="shared" ca="1" si="64"/>
        <v>14000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23500</v>
      </c>
      <c r="M189" s="47">
        <f ca="1">M190+M191</f>
        <v>24200</v>
      </c>
      <c r="N189" s="47">
        <f ca="1">N190+N191</f>
        <v>6700</v>
      </c>
      <c r="O189" s="47">
        <f t="shared" ca="1" si="59"/>
        <v>28.51063829787234</v>
      </c>
      <c r="P189" s="47">
        <f t="shared" ca="1" si="60"/>
        <v>27.685950413223139</v>
      </c>
      <c r="Q189" s="47">
        <f ca="1">Q190+Q191</f>
        <v>14000</v>
      </c>
      <c r="R189" s="47">
        <f ca="1">R190+R191</f>
        <v>14000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IFERROR(__xludf.DUMMYFUNCTION("IMPORTRANGE(""https://docs.google.com/spreadsheets/d/1-uDff_7J0KD5mKrp0Vvzr7lt3OU09vwQwhkpOPPYv2Y/edit?usp=sharing"",""งบพรบ!CU77"")"),23500)</f>
        <v>23500</v>
      </c>
      <c r="M191" s="47">
        <f ca="1">IFERROR(__xludf.DUMMYFUNCTION("IMPORTRANGE(""https://docs.google.com/spreadsheets/d/1-uDff_7J0KD5mKrp0Vvzr7lt3OU09vwQwhkpOPPYv2Y/edit?usp=sharing"",""งบพรบ!CZ77"")"),24200)</f>
        <v>24200</v>
      </c>
      <c r="N191" s="47">
        <f ca="1">IFERROR(__xludf.DUMMYFUNCTION("IMPORTRANGE(""https://docs.google.com/spreadsheets/d/1-uDff_7J0KD5mKrp0Vvzr7lt3OU09vwQwhkpOPPYv2Y/edit?usp=sharing"",""งบพรบ!DB77"")"),6700)</f>
        <v>6700</v>
      </c>
      <c r="O191" s="47">
        <f t="shared" ca="1" si="59"/>
        <v>28.51063829787234</v>
      </c>
      <c r="P191" s="47">
        <f t="shared" ca="1" si="60"/>
        <v>27.685950413223139</v>
      </c>
      <c r="Q191" s="47">
        <f ca="1">IFERROR(__xludf.DUMMYFUNCTION("IMPORTRANGE(""https://docs.google.com/spreadsheets/d/1ItG2mGa2ceCfYo0BwxsXqNm01IGEUdYcSSLTEv9YCik/edit?usp=sharing"",""เบิกจ่ายกองทุน!AV77"")"),14000)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IFERROR(__xludf.DUMMYFUNCTION("IMPORTRANGE(""https://docs.google.com/spreadsheets/d/1ItG2mGa2ceCfYo0BwxsXqNm01IGEUdYcSSLTEv9YCik/edit?usp=sharing"",""เบิกจ่ายกองทุน!AW77"")"),14000)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IFERROR(__xludf.DUMMYFUNCTION("IMPORTRANGE(""https://docs.google.com/spreadsheets/d/1ItG2mGa2ceCfYo0BwxsXqNm01IGEUdYcSSLTEv9YCik/edit?usp=sharing"",""เบิกจ่ายกองทุน!AX77"")"),0)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672">
        <v>360</v>
      </c>
      <c r="O196" s="132">
        <f ca="1">IF(L196&gt;0,N196*100/L196,0)</f>
        <v>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72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72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14000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IFERROR(__xludf.DUMMYFUNCTION("IMPORTRANGE(""https://docs.google.com/spreadsheets/d/1eHaY18a8A9IcSdp1K8H6x8fbOy06t2VsZHhMHf-1x7Y/edit?usp=sharing"",""แผน!AH77"")"),0)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IFERROR(__xludf.DUMMYFUNCTION("IMPORTRANGE(""https://docs.google.com/spreadsheets/d/1eHaY18a8A9IcSdp1K8H6x8fbOy06t2VsZHhMHf-1x7Y/edit?usp=sharing"",""แผน!AI77"")"),0)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IFERROR(__xludf.DUMMYFUNCTION("IMPORTRANGE(""https://docs.google.com/spreadsheets/d/1eHaY18a8A9IcSdp1K8H6x8fbOy06t2VsZHhMHf-1x7Y/edit?usp=sharing"",""แผน!AM77"")"),0)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IFERROR(__xludf.DUMMYFUNCTION("IMPORTRANGE(""https://docs.google.com/spreadsheets/d/1eHaY18a8A9IcSdp1K8H6x8fbOy06t2VsZHhMHf-1x7Y/edit?usp=sharing"",""แผน!AN77"")"),0)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IFERROR(__xludf.DUMMYFUNCTION("IMPORTRANGE(""https://docs.google.com/spreadsheets/d/1eHaY18a8A9IcSdp1K8H6x8fbOy06t2VsZHhMHf-1x7Y/edit?usp=sharing"",""แผน!AO77"")"),0)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IFERROR(__xludf.DUMMYFUNCTION("IMPORTRANGE(""https://docs.google.com/spreadsheets/d/1eHaY18a8A9IcSdp1K8H6x8fbOy06t2VsZHhMHf-1x7Y/edit?usp=sharing"",""แผน!LY77"")"),0)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IFERROR(__xludf.DUMMYFUNCTION("IMPORTRANGE(""https://docs.google.com/spreadsheets/d/1eHaY18a8A9IcSdp1K8H6x8fbOy06t2VsZHhMHf-1x7Y/edit?usp=sharing"",""แผน!AR77"")"),2500)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IFERROR(__xludf.DUMMYFUNCTION("IMPORTRANGE(""https://docs.google.com/spreadsheets/d/1eHaY18a8A9IcSdp1K8H6x8fbOy06t2VsZHhMHf-1x7Y/edit?usp=sharing"",""แผน!AS77"")"),2000)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IFERROR(__xludf.DUMMYFUNCTION("IMPORTRANGE(""https://docs.google.com/spreadsheets/d/1eHaY18a8A9IcSdp1K8H6x8fbOy06t2VsZHhMHf-1x7Y/edit?usp=sharing"",""แผน!AT77"")"),0)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667"/>
      <c r="B242" s="666"/>
      <c r="C242" s="652" t="s">
        <v>111</v>
      </c>
      <c r="D242" s="665"/>
      <c r="E242" s="665"/>
      <c r="F242" s="665"/>
      <c r="G242" s="664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541"/>
      <c r="B243" s="540"/>
      <c r="C243" s="648" t="s">
        <v>18</v>
      </c>
      <c r="D243" s="490" t="s">
        <v>19</v>
      </c>
      <c r="E243" s="540"/>
      <c r="F243" s="540"/>
      <c r="G243" s="539"/>
      <c r="H243" s="384" t="s">
        <v>14</v>
      </c>
      <c r="I243" s="538"/>
      <c r="J243" s="538"/>
      <c r="K243" s="537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541"/>
      <c r="B244" s="659"/>
      <c r="C244" s="540"/>
      <c r="D244" s="157" t="s">
        <v>86</v>
      </c>
      <c r="E244" s="540"/>
      <c r="F244" s="540"/>
      <c r="G244" s="539"/>
      <c r="H244" s="160" t="s">
        <v>14</v>
      </c>
      <c r="I244" s="538"/>
      <c r="J244" s="538"/>
      <c r="K244" s="537"/>
      <c r="L244" s="467">
        <f ca="1">IFERROR(__xludf.DUMMYFUNCTION("IMPORTRANGE(""https://docs.google.com/spreadsheets/d/1eHaY18a8A9IcSdp1K8H6x8fbOy06t2VsZHhMHf-1x7Y/edit?usp=sharing"",""แผน!AX77"")"),0)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660"/>
      <c r="B245" s="659"/>
      <c r="C245" s="659"/>
      <c r="D245" s="157" t="s">
        <v>88</v>
      </c>
      <c r="E245" s="540"/>
      <c r="F245" s="540"/>
      <c r="G245" s="539"/>
      <c r="H245" s="160" t="s">
        <v>14</v>
      </c>
      <c r="I245" s="545"/>
      <c r="J245" s="545"/>
      <c r="K245" s="544"/>
      <c r="L245" s="467">
        <f ca="1">IFERROR(__xludf.DUMMYFUNCTION("IMPORTRANGE(""https://docs.google.com/spreadsheets/d/1eHaY18a8A9IcSdp1K8H6x8fbOy06t2VsZHhMHf-1x7Y/edit?usp=sharing"",""แผน!AY77"")"),0)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660"/>
      <c r="B246" s="659"/>
      <c r="C246" s="659"/>
      <c r="D246" s="157" t="s">
        <v>106</v>
      </c>
      <c r="E246" s="540"/>
      <c r="F246" s="540"/>
      <c r="G246" s="539"/>
      <c r="H246" s="160" t="s">
        <v>14</v>
      </c>
      <c r="I246" s="545"/>
      <c r="J246" s="545"/>
      <c r="K246" s="544"/>
      <c r="L246" s="467">
        <f ca="1">IFERROR(__xludf.DUMMYFUNCTION("IMPORTRANGE(""https://docs.google.com/spreadsheets/d/1eHaY18a8A9IcSdp1K8H6x8fbOy06t2VsZHhMHf-1x7Y/edit?usp=sharing"",""แผน!AZ77"")"),0)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660"/>
      <c r="B247" s="659"/>
      <c r="C247" s="659"/>
      <c r="D247" s="157" t="s">
        <v>107</v>
      </c>
      <c r="E247" s="540"/>
      <c r="F247" s="540"/>
      <c r="G247" s="539"/>
      <c r="H247" s="160" t="s">
        <v>14</v>
      </c>
      <c r="I247" s="545"/>
      <c r="J247" s="545"/>
      <c r="K247" s="544"/>
      <c r="L247" s="467">
        <f ca="1">IFERROR(__xludf.DUMMYFUNCTION("IMPORTRANGE(""https://docs.google.com/spreadsheets/d/1eHaY18a8A9IcSdp1K8H6x8fbOy06t2VsZHhMHf-1x7Y/edit?usp=sharing"",""แผน!BA77"")"),0)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656"/>
      <c r="B248" s="655"/>
      <c r="C248" s="645" t="s">
        <v>18</v>
      </c>
      <c r="D248" s="501" t="s">
        <v>38</v>
      </c>
      <c r="E248" s="658"/>
      <c r="F248" s="658"/>
      <c r="G248" s="657"/>
      <c r="H248" s="653"/>
      <c r="I248" s="538"/>
      <c r="J248" s="545"/>
      <c r="K248" s="544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656"/>
      <c r="B249" s="655"/>
      <c r="C249" s="655"/>
      <c r="D249" s="190" t="s">
        <v>108</v>
      </c>
      <c r="E249" s="654"/>
      <c r="F249" s="654"/>
      <c r="G249" s="653"/>
      <c r="H249" s="642" t="s">
        <v>35</v>
      </c>
      <c r="I249" s="327">
        <f ca="1">IFERROR(__xludf.DUMMYFUNCTION("IMPORTRANGE(""https://docs.google.com/spreadsheets/d/1eHaY18a8A9IcSdp1K8H6x8fbOy06t2VsZHhMHf-1x7Y/edit?usp=sharing"",""แผน!BG77"")"),0)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656"/>
      <c r="B250" s="655"/>
      <c r="C250" s="655"/>
      <c r="D250" s="644" t="s">
        <v>43</v>
      </c>
      <c r="E250" s="654"/>
      <c r="F250" s="654"/>
      <c r="G250" s="653"/>
      <c r="H250" s="653"/>
      <c r="I250" s="545"/>
      <c r="J250" s="545"/>
      <c r="K250" s="544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656"/>
      <c r="B251" s="655"/>
      <c r="C251" s="655"/>
      <c r="D251" s="655"/>
      <c r="E251" s="643" t="s">
        <v>109</v>
      </c>
      <c r="F251" s="654"/>
      <c r="G251" s="65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656"/>
      <c r="B252" s="655"/>
      <c r="C252" s="655"/>
      <c r="D252" s="655"/>
      <c r="E252" s="643" t="s">
        <v>110</v>
      </c>
      <c r="F252" s="654"/>
      <c r="G252" s="65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667"/>
      <c r="B253" s="666"/>
      <c r="C253" s="652" t="s">
        <v>112</v>
      </c>
      <c r="D253" s="665"/>
      <c r="E253" s="665"/>
      <c r="F253" s="665"/>
      <c r="G253" s="664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541"/>
      <c r="B254" s="540"/>
      <c r="C254" s="648" t="s">
        <v>18</v>
      </c>
      <c r="D254" s="647" t="s">
        <v>19</v>
      </c>
      <c r="E254" s="540"/>
      <c r="F254" s="540"/>
      <c r="G254" s="539"/>
      <c r="H254" s="384" t="s">
        <v>14</v>
      </c>
      <c r="I254" s="538"/>
      <c r="J254" s="538"/>
      <c r="K254" s="537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541"/>
      <c r="B255" s="659"/>
      <c r="C255" s="540"/>
      <c r="D255" s="157" t="s">
        <v>86</v>
      </c>
      <c r="E255" s="540"/>
      <c r="F255" s="540"/>
      <c r="G255" s="539"/>
      <c r="H255" s="160" t="s">
        <v>14</v>
      </c>
      <c r="I255" s="538"/>
      <c r="J255" s="538"/>
      <c r="K255" s="537"/>
      <c r="L255" s="467">
        <f ca="1">IFERROR(__xludf.DUMMYFUNCTION("IMPORTRANGE(""https://docs.google.com/spreadsheets/d/1eHaY18a8A9IcSdp1K8H6x8fbOy06t2VsZHhMHf-1x7Y/edit?usp=sharing"",""แผน!BB77"")"),0)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660"/>
      <c r="B256" s="659"/>
      <c r="C256" s="659"/>
      <c r="D256" s="157" t="s">
        <v>88</v>
      </c>
      <c r="E256" s="540"/>
      <c r="F256" s="540"/>
      <c r="G256" s="539"/>
      <c r="H256" s="160" t="s">
        <v>14</v>
      </c>
      <c r="I256" s="545"/>
      <c r="J256" s="545"/>
      <c r="K256" s="544"/>
      <c r="L256" s="467">
        <f ca="1">IFERROR(__xludf.DUMMYFUNCTION("IMPORTRANGE(""https://docs.google.com/spreadsheets/d/1eHaY18a8A9IcSdp1K8H6x8fbOy06t2VsZHhMHf-1x7Y/edit?usp=sharing"",""แผน!BC77"")"),0)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660"/>
      <c r="B257" s="659"/>
      <c r="C257" s="659"/>
      <c r="D257" s="157" t="s">
        <v>106</v>
      </c>
      <c r="E257" s="540"/>
      <c r="F257" s="540"/>
      <c r="G257" s="539"/>
      <c r="H257" s="160" t="s">
        <v>14</v>
      </c>
      <c r="I257" s="545"/>
      <c r="J257" s="545"/>
      <c r="K257" s="544"/>
      <c r="L257" s="467">
        <f ca="1">IFERROR(__xludf.DUMMYFUNCTION("IMPORTRANGE(""https://docs.google.com/spreadsheets/d/1eHaY18a8A9IcSdp1K8H6x8fbOy06t2VsZHhMHf-1x7Y/edit?usp=sharing"",""แผน!BD77"")"),0)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660"/>
      <c r="B258" s="659"/>
      <c r="C258" s="659"/>
      <c r="D258" s="157" t="s">
        <v>107</v>
      </c>
      <c r="E258" s="540"/>
      <c r="F258" s="540"/>
      <c r="G258" s="539"/>
      <c r="H258" s="160" t="s">
        <v>14</v>
      </c>
      <c r="I258" s="545"/>
      <c r="J258" s="545"/>
      <c r="K258" s="544"/>
      <c r="L258" s="467">
        <f ca="1">IFERROR(__xludf.DUMMYFUNCTION("IMPORTRANGE(""https://docs.google.com/spreadsheets/d/1eHaY18a8A9IcSdp1K8H6x8fbOy06t2VsZHhMHf-1x7Y/edit?usp=sharing"",""แผน!BE77"")"),0)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656"/>
      <c r="B259" s="655"/>
      <c r="C259" s="645" t="s">
        <v>18</v>
      </c>
      <c r="D259" s="501" t="s">
        <v>38</v>
      </c>
      <c r="E259" s="658"/>
      <c r="F259" s="658"/>
      <c r="G259" s="657"/>
      <c r="H259" s="653"/>
      <c r="I259" s="538"/>
      <c r="J259" s="545"/>
      <c r="K259" s="544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656"/>
      <c r="B260" s="655"/>
      <c r="C260" s="655"/>
      <c r="D260" s="190" t="s">
        <v>108</v>
      </c>
      <c r="E260" s="654"/>
      <c r="F260" s="654"/>
      <c r="G260" s="653"/>
      <c r="H260" s="642" t="s">
        <v>35</v>
      </c>
      <c r="I260" s="327">
        <f ca="1">IFERROR(__xludf.DUMMYFUNCTION("IMPORTRANGE(""https://docs.google.com/spreadsheets/d/1eHaY18a8A9IcSdp1K8H6x8fbOy06t2VsZHhMHf-1x7Y/edit?usp=sharing"",""แผน!BH77"")"),0)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656"/>
      <c r="B261" s="655"/>
      <c r="C261" s="655"/>
      <c r="D261" s="644" t="s">
        <v>43</v>
      </c>
      <c r="E261" s="654"/>
      <c r="F261" s="654"/>
      <c r="G261" s="653"/>
      <c r="H261" s="653"/>
      <c r="I261" s="545"/>
      <c r="J261" s="545"/>
      <c r="K261" s="544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656"/>
      <c r="B262" s="655"/>
      <c r="C262" s="655"/>
      <c r="D262" s="655"/>
      <c r="E262" s="643" t="s">
        <v>109</v>
      </c>
      <c r="F262" s="654"/>
      <c r="G262" s="653"/>
      <c r="H262" s="642" t="s">
        <v>35</v>
      </c>
      <c r="I262" s="5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656"/>
      <c r="B263" s="655"/>
      <c r="C263" s="655"/>
      <c r="D263" s="655"/>
      <c r="E263" s="643" t="s">
        <v>110</v>
      </c>
      <c r="F263" s="654"/>
      <c r="G263" s="653"/>
      <c r="H263" s="642" t="s">
        <v>61</v>
      </c>
      <c r="I263" s="5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22</v>
      </c>
      <c r="K265" s="628">
        <f ca="1">IF(I265&gt;0,J265*100/I265,0)</f>
        <v>100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9000</v>
      </c>
      <c r="T266" s="624">
        <f t="shared" ref="T266:T274" ca="1" si="67">IF(Q266&gt;0,S266*100/Q266,0)</f>
        <v>17.765495459928939</v>
      </c>
      <c r="U266" s="624">
        <f t="shared" ref="U266:U274" ca="1" si="68">IF(R266&gt;0,S266*100/R266,0)</f>
        <v>17.765495459928939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9000</v>
      </c>
      <c r="T268" s="482">
        <f t="shared" ca="1" si="67"/>
        <v>17.765495459928939</v>
      </c>
      <c r="U268" s="482">
        <f t="shared" ca="1" si="68"/>
        <v>17.765495459928939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9000</v>
      </c>
      <c r="T269" s="482">
        <f t="shared" ca="1" si="67"/>
        <v>17.765495459928939</v>
      </c>
      <c r="U269" s="482">
        <f t="shared" ca="1" si="68"/>
        <v>17.765495459928939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IFERROR(__xludf.DUMMYFUNCTION("IMPORTRANGE(""https://docs.google.com/spreadsheets/d/1-uDff_7J0KD5mKrp0Vvzr7lt3OU09vwQwhkpOPPYv2Y/edit?usp=sharing"",""งบพรบ!DE77"")"),0)</f>
        <v>0</v>
      </c>
      <c r="M271" s="482">
        <f ca="1">IFERROR(__xludf.DUMMYFUNCTION("IMPORTRANGE(""https://docs.google.com/spreadsheets/d/1-uDff_7J0KD5mKrp0Vvzr7lt3OU09vwQwhkpOPPYv2Y/edit?usp=sharing"",""งบพรบ!DJ77"")"),5000)</f>
        <v>5000</v>
      </c>
      <c r="N271" s="482">
        <f ca="1">IFERROR(__xludf.DUMMYFUNCTION("IMPORTRANGE(""https://docs.google.com/spreadsheets/d/1-uDff_7J0KD5mKrp0Vvzr7lt3OU09vwQwhkpOPPYv2Y/edit?usp=sharing"",""งบพรบ!DL77"")"),0)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IFERROR(__xludf.DUMMYFUNCTION("IMPORTRANGE(""https://docs.google.com/spreadsheets/d/1ItG2mGa2ceCfYo0BwxsXqNm01IGEUdYcSSLTEv9YCik/edit?usp=sharing"",""เบิกจ่ายกองทุน!AJ77"")"),50660)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IFERROR(__xludf.DUMMYFUNCTION("IMPORTRANGE(""https://docs.google.com/spreadsheets/d/1ItG2mGa2ceCfYo0BwxsXqNm01IGEUdYcSSLTEv9YCik/edit?usp=sharing"",""เบิกจ่ายกองทุน!AK77"")"),50660)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IFERROR(__xludf.DUMMYFUNCTION("IMPORTRANGE(""https://docs.google.com/spreadsheets/d/1ItG2mGa2ceCfYo0BwxsXqNm01IGEUdYcSSLTEv9YCik/edit?usp=sharing"",""เบิกจ่ายกองทุน!AL77"")"),9000)</f>
        <v>9000</v>
      </c>
      <c r="T271" s="482">
        <f t="shared" ca="1" si="67"/>
        <v>17.765495459928939</v>
      </c>
      <c r="U271" s="482">
        <f t="shared" ca="1" si="68"/>
        <v>17.765495459928939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IFERROR(__xludf.DUMMYFUNCTION("IMPORTRANGE(""https://docs.google.com/spreadsheets/d/1-uDff_7J0KD5mKrp0Vvzr7lt3OU09vwQwhkpOPPYv2Y/edit?usp=sharing"",""งบพรบ!DH77"")"),0)</f>
        <v>0</v>
      </c>
      <c r="M274" s="482">
        <f ca="1">IFERROR(__xludf.DUMMYFUNCTION("IMPORTRANGE(""https://docs.google.com/spreadsheets/d/1-uDff_7J0KD5mKrp0Vvzr7lt3OU09vwQwhkpOPPYv2Y/edit?usp=sharing"",""งบพรบ!DK77"")"),0)</f>
        <v>0</v>
      </c>
      <c r="N274" s="482">
        <f ca="1">IFERROR(__xludf.DUMMYFUNCTION("IMPORTRANGE(""https://docs.google.com/spreadsheets/d/1-uDff_7J0KD5mKrp0Vvzr7lt3OU09vwQwhkpOPPYv2Y/edit?usp=sharing"",""งบพรบ!DM77"")"),0)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729"/>
      <c r="B277" s="728"/>
      <c r="C277" s="728"/>
      <c r="D277" s="614" t="s">
        <v>116</v>
      </c>
      <c r="E277" s="727"/>
      <c r="F277" s="727"/>
      <c r="G277" s="726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229336.17</v>
      </c>
      <c r="R305" s="47">
        <f t="shared" ca="1" si="82"/>
        <v>229336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IFERROR(__xludf.DUMMYFUNCTION("IMPORTRANGE(""https://docs.google.com/spreadsheets/d/1ItG2mGa2ceCfYo0BwxsXqNm01IGEUdYcSSLTEv9YCik/edit?usp=sharing"",""เบิกจ่ายกองทุน!AQ77"")"),229336)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IFERROR(__xludf.DUMMYFUNCTION("IMPORTRANGE(""https://docs.google.com/spreadsheets/d/1ItG2mGa2ceCfYo0BwxsXqNm01IGEUdYcSSLTEv9YCik/edit?usp=sharing"",""เบิกจ่ายกองทุน!AR77"")"),0)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1140</v>
      </c>
      <c r="J332" s="596">
        <f ca="1">J344+J347+J348+J349+J353</f>
        <v>4176</v>
      </c>
      <c r="K332" s="595">
        <f ca="1">IF(I332&gt;0,J332*100/I332,0)</f>
        <v>366.31578947368422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106000</v>
      </c>
      <c r="M333" s="132">
        <f ca="1">M334+M335</f>
        <v>111000</v>
      </c>
      <c r="N333" s="132">
        <f ca="1">N334+N335</f>
        <v>99309.78</v>
      </c>
      <c r="O333" s="132">
        <f t="shared" ref="O333:O341" ca="1" si="89">IF(L333&gt;0,N333*100/L333,0)</f>
        <v>93.688471698113204</v>
      </c>
      <c r="P333" s="132">
        <f t="shared" ref="P333:P341" ca="1" si="90">IF(M333&gt;0,N333*100/M333,0)</f>
        <v>89.468270270270267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106000</v>
      </c>
      <c r="M335" s="47">
        <f t="shared" ca="1" si="93"/>
        <v>111000</v>
      </c>
      <c r="N335" s="47">
        <f t="shared" ca="1" si="93"/>
        <v>99309.78</v>
      </c>
      <c r="O335" s="47">
        <f t="shared" ca="1" si="89"/>
        <v>93.688471698113204</v>
      </c>
      <c r="P335" s="47">
        <f t="shared" ca="1" si="90"/>
        <v>89.468270270270267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106000</v>
      </c>
      <c r="M336" s="47">
        <f ca="1">M337+M338</f>
        <v>111000</v>
      </c>
      <c r="N336" s="47">
        <f ca="1">N337+N338</f>
        <v>99309.78</v>
      </c>
      <c r="O336" s="47">
        <f t="shared" ca="1" si="89"/>
        <v>93.688471698113204</v>
      </c>
      <c r="P336" s="47">
        <f t="shared" ca="1" si="90"/>
        <v>89.468270270270267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IFERROR(__xludf.DUMMYFUNCTION("IMPORTRANGE(""https://docs.google.com/spreadsheets/d/1-uDff_7J0KD5mKrp0Vvzr7lt3OU09vwQwhkpOPPYv2Y/edit?usp=sharing"",""งบพรบ!ES77"")"),106000)</f>
        <v>106000</v>
      </c>
      <c r="M338" s="47">
        <f ca="1">IFERROR(__xludf.DUMMYFUNCTION("IMPORTRANGE(""https://docs.google.com/spreadsheets/d/1-uDff_7J0KD5mKrp0Vvzr7lt3OU09vwQwhkpOPPYv2Y/edit?usp=sharing"",""งบพรบ!EX77"")"),111000)</f>
        <v>111000</v>
      </c>
      <c r="N338" s="47">
        <f ca="1">IFERROR(__xludf.DUMMYFUNCTION("IMPORTRANGE(""https://docs.google.com/spreadsheets/d/1-uDff_7J0KD5mKrp0Vvzr7lt3OU09vwQwhkpOPPYv2Y/edit?usp=sharing"",""งบพรบ!EZ77"")"),99309.78)</f>
        <v>99309.78</v>
      </c>
      <c r="O338" s="47">
        <f t="shared" ca="1" si="89"/>
        <v>93.688471698113204</v>
      </c>
      <c r="P338" s="47">
        <f t="shared" ca="1" si="90"/>
        <v>89.468270270270267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3068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IFERROR(__xludf.DUMMYFUNCTION("IMPORTRANGE(""https://docs.google.com/spreadsheets/d/1awYsYK3VOup2i3Pq_Yjnu8DRu_mYwSBnCR2QPthd0rU/edit?usp=sharing"",""ศูนย์ยกเว้นโฉนด!D77"")"),3067)</f>
        <v>3067</v>
      </c>
      <c r="K344" s="47">
        <f ca="1">IF(I344&gt;0,J344*100/I344,0)</f>
        <v>269.03508771929825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6469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IFERROR(__xludf.DUMMYFUNCTION("IMPORTRANGE(""https://docs.google.com/spreadsheets/d/1awYsYK3VOup2i3Pq_Yjnu8DRu_mYwSBnCR2QPthd0rU/edit?usp=sharing"",""โฉนดM3!G77"")"),5361)</f>
        <v>5361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IFERROR(__xludf.DUMMYFUNCTION("IMPORTRANGE(""https://docs.google.com/spreadsheets/d/1awYsYK3VOup2i3Pq_Yjnu8DRu_mYwSBnCR2QPthd0rU/edit?usp=sharing"",""โฉนดM3!H77"")"),1108)</f>
        <v>1108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498260</v>
      </c>
      <c r="M356" s="132">
        <f ca="1">M357+M358</f>
        <v>498260</v>
      </c>
      <c r="N356" s="132">
        <f ca="1">N357+N358</f>
        <v>445333.79</v>
      </c>
      <c r="O356" s="132">
        <f t="shared" ref="O356:O364" ca="1" si="95">IF(L356&gt;0,N356*100/L356,0)</f>
        <v>89.377792718660942</v>
      </c>
      <c r="P356" s="132">
        <f t="shared" ref="P356:P364" ca="1" si="96">IF(M356&gt;0,N356*100/M356,0)</f>
        <v>89.377792718660942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498260</v>
      </c>
      <c r="M358" s="47">
        <f t="shared" ca="1" si="99"/>
        <v>498260</v>
      </c>
      <c r="N358" s="47">
        <f t="shared" ca="1" si="99"/>
        <v>445333.79</v>
      </c>
      <c r="O358" s="47">
        <f t="shared" ca="1" si="95"/>
        <v>89.377792718660942</v>
      </c>
      <c r="P358" s="47">
        <f t="shared" ca="1" si="96"/>
        <v>89.377792718660942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498260</v>
      </c>
      <c r="M359" s="47">
        <f ca="1">M360+M361</f>
        <v>498260</v>
      </c>
      <c r="N359" s="47">
        <f ca="1">N360+N361</f>
        <v>445333.79</v>
      </c>
      <c r="O359" s="47">
        <f t="shared" ca="1" si="95"/>
        <v>89.377792718660942</v>
      </c>
      <c r="P359" s="47">
        <f t="shared" ca="1" si="96"/>
        <v>89.377792718660942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IFERROR(__xludf.DUMMYFUNCTION("IMPORTRANGE(""https://docs.google.com/spreadsheets/d/1-uDff_7J0KD5mKrp0Vvzr7lt3OU09vwQwhkpOPPYv2Y/edit?usp=sharing"",""งบพรบ!FC77"")"),498260)</f>
        <v>498260</v>
      </c>
      <c r="M361" s="47">
        <f ca="1">IFERROR(__xludf.DUMMYFUNCTION("IMPORTRANGE(""https://docs.google.com/spreadsheets/d/1-uDff_7J0KD5mKrp0Vvzr7lt3OU09vwQwhkpOPPYv2Y/edit?usp=sharing"",""งบพรบ!FH77"")"),498260)</f>
        <v>498260</v>
      </c>
      <c r="N361" s="47">
        <f ca="1">IFERROR(__xludf.DUMMYFUNCTION("IMPORTRANGE(""https://docs.google.com/spreadsheets/d/1-uDff_7J0KD5mKrp0Vvzr7lt3OU09vwQwhkpOPPYv2Y/edit?usp=sharing"",""งบพรบ!FJ77"")"),445333.79)</f>
        <v>445333.79</v>
      </c>
      <c r="O361" s="47">
        <f t="shared" ca="1" si="95"/>
        <v>89.377792718660942</v>
      </c>
      <c r="P361" s="47">
        <f t="shared" ca="1" si="96"/>
        <v>89.377792718660942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88</v>
      </c>
      <c r="J365" s="228">
        <f ca="1">J371</f>
        <v>81</v>
      </c>
      <c r="K365" s="229">
        <f ca="1">IF(I365&gt;0,J365*100/I365,0)</f>
        <v>92.045454545454547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IFERROR(__xludf.DUMMYFUNCTION("IMPORTRANGE(""https://docs.google.com/spreadsheets/d/1tdoBKaGub7dwA3U6UFTqxio9LNnvDCQjHKmttSEBsFQ/edit?usp=sharing"",""จัดที่ดิน!AB77"")"),156)</f>
        <v>156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IFERROR(__xludf.DUMMYFUNCTION("IMPORTRANGE(""https://docs.google.com/spreadsheets/d/1eHaY18a8A9IcSdp1K8H6x8fbOy06t2VsZHhMHf-1x7Y/edit?usp=sharing"",""แผน!EW77"")"),240)</f>
        <v>240</v>
      </c>
      <c r="J368" s="584">
        <f ca="1">IFERROR(__xludf.DUMMYFUNCTION("IMPORTRANGE(""https://docs.google.com/spreadsheets/d/1tdoBKaGub7dwA3U6UFTqxio9LNnvDCQjHKmttSEBsFQ/edit?usp=sharing"",""จัดที่ดิน!AC77"")"),1437.97)</f>
        <v>1437.97</v>
      </c>
      <c r="K368" s="47">
        <f t="shared" ca="1" si="101"/>
        <v>599.1541666666667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IFERROR(__xludf.DUMMYFUNCTION("IMPORTRANGE(""https://docs.google.com/spreadsheets/d/1eHaY18a8A9IcSdp1K8H6x8fbOy06t2VsZHhMHf-1x7Y/edit?usp=sharing"",""แผน!EX77"")"),88)</f>
        <v>88</v>
      </c>
      <c r="J369" s="152">
        <f ca="1">IFERROR(__xludf.DUMMYFUNCTION("IMPORTRANGE(""https://docs.google.com/spreadsheets/d/1tdoBKaGub7dwA3U6UFTqxio9LNnvDCQjHKmttSEBsFQ/edit?usp=sharing"",""จัดที่ดิน!AD77"")"),89)</f>
        <v>89</v>
      </c>
      <c r="K369" s="47">
        <f t="shared" ca="1" si="101"/>
        <v>101.13636363636364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IFERROR(__xludf.DUMMYFUNCTION("IMPORTRANGE(""https://docs.google.com/spreadsheets/d/1tdoBKaGub7dwA3U6UFTqxio9LNnvDCQjHKmttSEBsFQ/edit?usp=sharing"",""จัดที่ดิน!AE77"")"),1007.01)</f>
        <v>1007.01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IFERROR(__xludf.DUMMYFUNCTION("IMPORTRANGE(""https://docs.google.com/spreadsheets/d/1eHaY18a8A9IcSdp1K8H6x8fbOy06t2VsZHhMHf-1x7Y/edit?usp=sharing"",""แผน!EY77"")"),88)</f>
        <v>88</v>
      </c>
      <c r="J371" s="152">
        <f ca="1">IFERROR(__xludf.DUMMYFUNCTION("IMPORTRANGE(""https://docs.google.com/spreadsheets/d/1tdoBKaGub7dwA3U6UFTqxio9LNnvDCQjHKmttSEBsFQ/edit?usp=sharing"",""จัดที่ดิน!AF77"")"),81)</f>
        <v>81</v>
      </c>
      <c r="K371" s="47">
        <f t="shared" ca="1" si="101"/>
        <v>92.045454545454547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IFERROR(__xludf.DUMMYFUNCTION("IMPORTRANGE(""https://docs.google.com/spreadsheets/d/1tdoBKaGub7dwA3U6UFTqxio9LNnvDCQjHKmttSEBsFQ/edit?usp=sharing"",""จัดที่ดิน!AG77"")"),941.21)</f>
        <v>941.21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410</v>
      </c>
      <c r="K374" s="575">
        <f ca="1">IF(I374&gt;0,J374*100/I374,0)</f>
        <v>41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IFERROR(__xludf.DUMMYFUNCTION("IMPORTRANGE(""https://docs.google.com/spreadsheets/d/1ItG2mGa2ceCfYo0BwxsXqNm01IGEUdYcSSLTEv9YCik/edit?usp=sharing"",""เบิกจ่ายกองทุน!AZ77"")"),0)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IFERROR(__xludf.DUMMYFUNCTION("IMPORTRANGE(""https://docs.google.com/spreadsheets/d/1ItG2mGa2ceCfYo0BwxsXqNm01IGEUdYcSSLTEv9YCik/edit?usp=sharing"",""เบิกจ่ายกองทุน!BA77"")"),0)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IFERROR(__xludf.DUMMYFUNCTION("IMPORTRANGE(""https://docs.google.com/spreadsheets/d/1w5rwWK1o49a35cNtocGL0gxDwhFSTZUQu90BiH9_zqM/edit?usp=sharing"",""RTK!H77"")"),23)</f>
        <v>23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IFERROR(__xludf.DUMMYFUNCTION("IMPORTRANGE(""https://docs.google.com/spreadsheets/d/1w5rwWK1o49a35cNtocGL0gxDwhFSTZUQu90BiH9_zqM/edit?usp=sharing"",""RTK!I77"")"),410)</f>
        <v>410</v>
      </c>
      <c r="K386" s="47">
        <f ca="1">IF(I386&gt;0,J386*100/I386,0)</f>
        <v>41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IFERROR(__xludf.DUMMYFUNCTION("IMPORTRANGE(""https://docs.google.com/spreadsheets/d/1w5rwWK1o49a35cNtocGL0gxDwhFSTZUQu90BiH9_zqM/edit?usp=sharing"",""RTK!L77"")"),0)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IFERROR(__xludf.DUMMYFUNCTION("IMPORTRANGE(""https://docs.google.com/spreadsheets/d/1w5rwWK1o49a35cNtocGL0gxDwhFSTZUQu90BiH9_zqM/edit?usp=sharing"",""RTK!K77"")"),0)</f>
        <v>0</v>
      </c>
      <c r="J388" s="483">
        <f ca="1">IFERROR(__xludf.DUMMYFUNCTION("IMPORTRANGE(""https://docs.google.com/spreadsheets/d/1w5rwWK1o49a35cNtocGL0gxDwhFSTZUQu90BiH9_zqM/edit?usp=sharing"",""RTK!M77"")"),0)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IFERROR(__xludf.DUMMYFUNCTION("IMPORTRANGE(""https://docs.google.com/spreadsheets/d/1ItG2mGa2ceCfYo0BwxsXqNm01IGEUdYcSSLTEv9YCik/edit?usp=sharing"",""เบิกจ่ายกองทุน!BH77"")"),0)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IFERROR(__xludf.DUMMYFUNCTION("IMPORTRANGE(""https://docs.google.com/spreadsheets/d/1ItG2mGa2ceCfYo0BwxsXqNm01IGEUdYcSSLTEv9YCik/edit?usp=sharing"",""เบิกจ่ายกองทุน!BI77"")"),0)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IFERROR(__xludf.DUMMYFUNCTION("IMPORTRANGE(""https://docs.google.com/spreadsheets/d/1ItG2mGa2ceCfYo0BwxsXqNm01IGEUdYcSSLTEv9YCik/edit?usp=sharing"",""เบิกจ่ายกองทุน!BJ77"")"),0)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IFERROR(__xludf.DUMMYFUNCTION("IMPORTRANGE(""https://docs.google.com/spreadsheets/d/1eHaY18a8A9IcSdp1K8H6x8fbOy06t2VsZHhMHf-1x7Y/edit?usp=sharing"",""แผน!HN77"")"),0)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IFERROR(__xludf.DUMMYFUNCTION("IMPORTRANGE(""https://docs.google.com/spreadsheets/d/1eHaY18a8A9IcSdp1K8H6x8fbOy06t2VsZHhMHf-1x7Y/edit?usp=sharing"",""แผน!HO77"")"),0)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IFERROR(__xludf.DUMMYFUNCTION("IMPORTRANGE(""https://docs.google.com/spreadsheets/d/1ItG2mGa2ceCfYo0BwxsXqNm01IGEUdYcSSLTEv9YCik/edit?usp=sharing"",""เบิกจ่ายกองทุน!Y77"")"),0)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IFERROR(__xludf.DUMMYFUNCTION("IMPORTRANGE(""https://docs.google.com/spreadsheets/d/1ItG2mGa2ceCfYo0BwxsXqNm01IGEUdYcSSLTEv9YCik/edit?usp=sharing"",""เบิกจ่ายกองทุน!Z77"")"),0)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t="shared" ref="T616:T624" ca="1" si="159">IF(Q616&gt;0,S616*100/Q616,0)</f>
        <v>21.768707482993197</v>
      </c>
      <c r="U616" s="132">
        <f t="shared" ref="U616:U624" ca="1" si="160">IF(R616&gt;0,S616*100/R616,0)</f>
        <v>21.768707482993197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7350</v>
      </c>
      <c r="R618" s="47">
        <f t="shared" ca="1" si="162"/>
        <v>7350</v>
      </c>
      <c r="S618" s="47">
        <f t="shared" ca="1" si="162"/>
        <v>1600</v>
      </c>
      <c r="T618" s="47">
        <f t="shared" ca="1" si="159"/>
        <v>21.768707482993197</v>
      </c>
      <c r="U618" s="47">
        <f t="shared" ca="1" si="160"/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t="shared" ca="1" si="159"/>
        <v>21.768707482993197</v>
      </c>
      <c r="U619" s="47">
        <f t="shared" ca="1" si="160"/>
        <v>21.768707482993197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t="shared" ca="1" si="159"/>
        <v>21.768707482993197</v>
      </c>
      <c r="U621" s="47">
        <f t="shared" ca="1" si="160"/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64340</v>
      </c>
      <c r="R692" s="47">
        <f t="shared" ca="1" si="174"/>
        <v>64340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t="shared" ca="1" si="175"/>
        <v>300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IFERROR(__xludf.DUMMYFUNCTION("IMPORTRANGE(""https://docs.google.com/spreadsheets/d/1eHaY18a8A9IcSdp1K8H6x8fbOy06t2VsZHhMHf-1x7Y/edit?usp=sharing"",""แผน!GA77"")"),31)</f>
        <v>31</v>
      </c>
      <c r="J726" s="433">
        <f>J742+J746+J749</f>
        <v>30</v>
      </c>
      <c r="K726" s="434">
        <f ca="1">IF(I726&gt;0,J726*100/I726,0)</f>
        <v>96.774193548387103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IFERROR(__xludf.DUMMYFUNCTION("IMPORTRANGE(""https://docs.google.com/spreadsheets/d/1eHaY18a8A9IcSdp1K8H6x8fbOy06t2VsZHhMHf-1x7Y/edit?usp=sharing"",""แผน!FZ77"")"),300)</f>
        <v>300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t="shared" ref="T728:T736" ca="1" si="184">IF(Q728&gt;0,S728*100/Q728,0)</f>
        <v>11.725610811969688</v>
      </c>
      <c r="U728" s="132">
        <f t="shared" ref="U728:U736" ca="1" si="185">IF(R728&gt;0,S728*100/R728,0)</f>
        <v>11.725610811969688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242546</v>
      </c>
      <c r="R730" s="47">
        <f t="shared" ca="1" si="187"/>
        <v>242546</v>
      </c>
      <c r="S730" s="47">
        <f t="shared" ca="1" si="187"/>
        <v>28440</v>
      </c>
      <c r="T730" s="47">
        <f t="shared" ca="1" si="184"/>
        <v>11.725610811969688</v>
      </c>
      <c r="U730" s="47">
        <f t="shared" ca="1" si="185"/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t="shared" ca="1" si="184"/>
        <v>11.725610811969688</v>
      </c>
      <c r="U731" s="47">
        <f t="shared" ca="1" si="185"/>
        <v>11.725610811969688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t="shared" ca="1" si="184"/>
        <v>11.725610811969688</v>
      </c>
      <c r="U733" s="47">
        <f t="shared" ca="1" si="185"/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IFERROR(__xludf.DUMMYFUNCTION("IMPORTRANGE(""https://docs.google.com/spreadsheets/d/1eHaY18a8A9IcSdp1K8H6x8fbOy06t2VsZHhMHf-1x7Y/edit?usp=sharing"",""แผน!GB77"")"),240)</f>
        <v>240</v>
      </c>
      <c r="J740" s="474">
        <v>240</v>
      </c>
      <c r="K740" s="482">
        <f ca="1">IF(I740&gt;0,J740*100/I740,0)</f>
        <v>100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24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IFERROR(__xludf.DUMMYFUNCTION("IMPORTRANGE(""https://docs.google.com/spreadsheets/d/1eHaY18a8A9IcSdp1K8H6x8fbOy06t2VsZHhMHf-1x7Y/edit?usp=sharing"",""แผน!GC77"")"),24)</f>
        <v>24</v>
      </c>
      <c r="J742" s="474">
        <v>24</v>
      </c>
      <c r="K742" s="482">
        <f ca="1">IF(I742&gt;0,J742*100/I742,0)</f>
        <v>100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IFERROR(__xludf.DUMMYFUNCTION("IMPORTRANGE(""https://docs.google.com/spreadsheets/d/1eHaY18a8A9IcSdp1K8H6x8fbOy06t2VsZHhMHf-1x7Y/edit?usp=sharing"",""แผน!GD77"")"),60)</f>
        <v>60</v>
      </c>
      <c r="J744" s="474">
        <v>60</v>
      </c>
      <c r="K744" s="482">
        <f ca="1">IF(I744&gt;0,J744*100/I744,0)</f>
        <v>100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6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IFERROR(__xludf.DUMMYFUNCTION("IMPORTRANGE(""https://docs.google.com/spreadsheets/d/1eHaY18a8A9IcSdp1K8H6x8fbOy06t2VsZHhMHf-1x7Y/edit?usp=sharing"",""แผน!GE77"")"),6)</f>
        <v>6</v>
      </c>
      <c r="J746" s="474">
        <v>6</v>
      </c>
      <c r="K746" s="482">
        <f ca="1">IF(I746&gt;0,J746*100/I746,0)</f>
        <v>100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IFERROR(__xludf.DUMMYFUNCTION("IMPORTRANGE(""https://docs.google.com/spreadsheets/d/1eHaY18a8A9IcSdp1K8H6x8fbOy06t2VsZHhMHf-1x7Y/edit?usp=sharing"",""แผน!GF77"")"),1)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IFERROR(__xludf.DUMMYFUNCTION("IMPORTRANGE(""https://docs.google.com/spreadsheets/d/1eHaY18a8A9IcSdp1K8H6x8fbOy06t2VsZHhMHf-1x7Y/edit?usp=sharing"",""แผน!GB77"")"),240)</f>
        <v>240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IFERROR(__xludf.DUMMYFUNCTION("IMPORTRANGE(""https://docs.google.com/spreadsheets/d/1eHaY18a8A9IcSdp1K8H6x8fbOy06t2VsZHhMHf-1x7Y/edit?usp=sharing"",""แผน!GD77"")"),60)</f>
        <v>60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20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50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1794.8</v>
      </c>
      <c r="T760" s="132">
        <f t="shared" ref="T760:T768" ca="1" si="190">IF(Q760&gt;0,S760*100/Q760,0)</f>
        <v>1.2073187138436701</v>
      </c>
      <c r="U760" s="132">
        <f t="shared" ref="U760:U768" ca="1" si="191">IF(R760&gt;0,S760*100/R760,0)</f>
        <v>1.2073187138436701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148660</v>
      </c>
      <c r="R762" s="47">
        <f t="shared" ca="1" si="193"/>
        <v>148660</v>
      </c>
      <c r="S762" s="47">
        <f t="shared" ca="1" si="193"/>
        <v>1794.8</v>
      </c>
      <c r="T762" s="47">
        <f t="shared" ca="1" si="190"/>
        <v>1.2073187138436701</v>
      </c>
      <c r="U762" s="47">
        <f t="shared" ca="1" si="191"/>
        <v>1.2073187138436701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1794.8</v>
      </c>
      <c r="T763" s="47">
        <f t="shared" ca="1" si="190"/>
        <v>1.2073187138436701</v>
      </c>
      <c r="U763" s="47">
        <f t="shared" ca="1" si="191"/>
        <v>1.2073187138436701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IFERROR(__xludf.DUMMYFUNCTION("IMPORTRANGE(""https://docs.google.com/spreadsheets/d/1ItG2mGa2ceCfYo0BwxsXqNm01IGEUdYcSSLTEv9YCik/edit?usp=sharing"",""เบิกจ่ายกองทุน!V77"")"),148660)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IFERROR(__xludf.DUMMYFUNCTION("IMPORTRANGE(""https://docs.google.com/spreadsheets/d/1ItG2mGa2ceCfYo0BwxsXqNm01IGEUdYcSSLTEv9YCik/edit?usp=sharing"",""เบิกจ่ายกองทุน!W77"")"),1794.8)</f>
        <v>1794.8</v>
      </c>
      <c r="T765" s="47">
        <f t="shared" ca="1" si="190"/>
        <v>1.2073187138436701</v>
      </c>
      <c r="U765" s="47">
        <f t="shared" ca="1" si="191"/>
        <v>1.2073187138436701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IFERROR(__xludf.DUMMYFUNCTION("IMPORTRANGE(""https://docs.google.com/spreadsheets/d/1eHaY18a8A9IcSdp1K8H6x8fbOy06t2VsZHhMHf-1x7Y/edit?usp=sharing"",""แผน!FI77"")"),0)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IFERROR(__xludf.DUMMYFUNCTION("IMPORTRANGE(""https://docs.google.com/spreadsheets/d/10OvvATaaLtwErnr3qtWFcTmtbfpFEt5Bsqel9sXx0uE/edit?usp=sharing"",""งานกองทุน!D77"")"),983623.69)</f>
        <v>983623.69</v>
      </c>
      <c r="J778" s="152">
        <f ca="1">IFERROR(__xludf.DUMMYFUNCTION("IMPORTRANGE(""https://docs.google.com/spreadsheets/d/10OvvATaaLtwErnr3qtWFcTmtbfpFEt5Bsqel9sXx0uE/edit?usp=sharing"",""งานกองทุน!F77"")"),577747.55)</f>
        <v>577747.55000000005</v>
      </c>
      <c r="K778" s="47">
        <f t="shared" ref="K778:K785" ca="1" si="194">IF(I778&gt;0,J778*100/I778,0)</f>
        <v>58.736644498670024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IFERROR(__xludf.DUMMYFUNCTION("IMPORTRANGE(""https://docs.google.com/spreadsheets/d/10OvvATaaLtwErnr3qtWFcTmtbfpFEt5Bsqel9sXx0uE/edit?usp=sharing"",""งานกองทุน!C77"")"),71)</f>
        <v>71</v>
      </c>
      <c r="J779" s="152">
        <f ca="1">IFERROR(__xludf.DUMMYFUNCTION("IMPORTRANGE(""https://docs.google.com/spreadsheets/d/10OvvATaaLtwErnr3qtWFcTmtbfpFEt5Bsqel9sXx0uE/edit?usp=sharing"",""งานกองทุน!E77"")"),46)</f>
        <v>46</v>
      </c>
      <c r="K779" s="47">
        <f t="shared" ca="1" si="194"/>
        <v>64.788732394366193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IFERROR(__xludf.DUMMYFUNCTION("IMPORTRANGE(""https://docs.google.com/spreadsheets/d/10OvvATaaLtwErnr3qtWFcTmtbfpFEt5Bsqel9sXx0uE/edit?usp=sharing"",""งานกองทุน!K77"")"),362791.34)</f>
        <v>362791.34</v>
      </c>
      <c r="K780" s="47">
        <f t="shared" ca="1" si="194"/>
        <v>17.984381659024354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IFERROR(__xludf.DUMMYFUNCTION("IMPORTRANGE(""https://docs.google.com/spreadsheets/d/10OvvATaaLtwErnr3qtWFcTmtbfpFEt5Bsqel9sXx0uE/edit?usp=sharing"",""งานกองทุน!J77"")"),33)</f>
        <v>33</v>
      </c>
      <c r="K781" s="47">
        <f t="shared" ca="1" si="194"/>
        <v>41.77215189873418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t="shared" ca="1" si="194"/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t="shared" ca="1" si="194"/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38A67-1ABD-4655-86A8-36548E366ED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315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2231525</v>
      </c>
      <c r="M18" s="35">
        <f ca="1">M19+M20</f>
        <v>2341839.48</v>
      </c>
      <c r="N18" s="35">
        <f ca="1">N19+N20</f>
        <v>1827485.9600000002</v>
      </c>
      <c r="O18" s="35">
        <f t="shared" ref="O18:O26" ca="1" si="0">IF(L18&gt;0,N18*100/L18,0)</f>
        <v>81.894039278072185</v>
      </c>
      <c r="P18" s="35">
        <f t="shared" ref="P18:P26" ca="1" si="1">IF(M18&gt;0,N18*100/M18,0)</f>
        <v>78.036346026585917</v>
      </c>
      <c r="Q18" s="35">
        <f ca="1">Q19+Q20</f>
        <v>1094737.3900000001</v>
      </c>
      <c r="R18" s="35">
        <f ca="1">R19+R20</f>
        <v>1032237</v>
      </c>
      <c r="S18" s="35">
        <f ca="1">S19+S20</f>
        <v>76704</v>
      </c>
      <c r="T18" s="35">
        <f t="shared" ref="T18:T26" ca="1" si="2">IF(Q18&gt;0,S18*100/Q18,0)</f>
        <v>7.0066118779408813</v>
      </c>
      <c r="U18" s="35">
        <f t="shared" ref="U18:U26" ca="1" si="3">IF(R18&gt;0,S18*100/R18,0)</f>
        <v>7.4308516358161931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2231525</v>
      </c>
      <c r="M20" s="39">
        <f t="shared" ca="1" si="4"/>
        <v>2341839.48</v>
      </c>
      <c r="N20" s="39">
        <f t="shared" ca="1" si="4"/>
        <v>1827485.9600000002</v>
      </c>
      <c r="O20" s="39">
        <f t="shared" ca="1" si="0"/>
        <v>81.894039278072185</v>
      </c>
      <c r="P20" s="39">
        <f t="shared" ca="1" si="1"/>
        <v>78.036346026585917</v>
      </c>
      <c r="Q20" s="39">
        <f t="shared" ca="1" si="5"/>
        <v>1094737.3900000001</v>
      </c>
      <c r="R20" s="39">
        <f t="shared" ca="1" si="5"/>
        <v>1032237</v>
      </c>
      <c r="S20" s="39">
        <f t="shared" ca="1" si="5"/>
        <v>76704</v>
      </c>
      <c r="T20" s="39">
        <f t="shared" ca="1" si="2"/>
        <v>7.0066118779408813</v>
      </c>
      <c r="U20" s="39">
        <f t="shared" ca="1" si="3"/>
        <v>7.4308516358161931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2231525</v>
      </c>
      <c r="M21" s="47">
        <f ca="1">M22+M23</f>
        <v>2341839.48</v>
      </c>
      <c r="N21" s="47">
        <f ca="1">N22+N23</f>
        <v>1827485.9600000002</v>
      </c>
      <c r="O21" s="47">
        <f t="shared" ca="1" si="0"/>
        <v>81.894039278072185</v>
      </c>
      <c r="P21" s="47">
        <f t="shared" ca="1" si="1"/>
        <v>78.036346026585917</v>
      </c>
      <c r="Q21" s="47">
        <f ca="1">Q22+Q23</f>
        <v>1094737.3900000001</v>
      </c>
      <c r="R21" s="47">
        <f ca="1">R22+R23</f>
        <v>1032237</v>
      </c>
      <c r="S21" s="47">
        <f ca="1">S22+S23</f>
        <v>76704</v>
      </c>
      <c r="T21" s="47">
        <f t="shared" ca="1" si="2"/>
        <v>7.0066118779408813</v>
      </c>
      <c r="U21" s="47">
        <f t="shared" ca="1" si="3"/>
        <v>7.4308516358161931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2231525</v>
      </c>
      <c r="M23" s="47">
        <f t="shared" ca="1" si="6"/>
        <v>2341839.48</v>
      </c>
      <c r="N23" s="47">
        <f t="shared" ca="1" si="6"/>
        <v>1827485.9600000002</v>
      </c>
      <c r="O23" s="47">
        <f t="shared" ca="1" si="0"/>
        <v>81.894039278072185</v>
      </c>
      <c r="P23" s="47">
        <f t="shared" ca="1" si="1"/>
        <v>78.036346026585917</v>
      </c>
      <c r="Q23" s="47">
        <f t="shared" ca="1" si="7"/>
        <v>1094737.3900000001</v>
      </c>
      <c r="R23" s="47">
        <f t="shared" ca="1" si="7"/>
        <v>1032237</v>
      </c>
      <c r="S23" s="47">
        <f t="shared" ca="1" si="7"/>
        <v>76704</v>
      </c>
      <c r="T23" s="47">
        <f t="shared" ca="1" si="2"/>
        <v>7.0066118779408813</v>
      </c>
      <c r="U23" s="47">
        <f t="shared" ca="1" si="3"/>
        <v>7.4308516358161931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2231525</v>
      </c>
      <c r="M40" s="703">
        <f ca="1">M44+M59+M72+M94+M125+M139+M157+M173+M186+M266+M282+M303+M320+M333+M356</f>
        <v>2341839.48</v>
      </c>
      <c r="N40" s="703">
        <f ca="1">N44+N59+N72+N94+N125+N139+N157+N173+N186+N266+N282+N303+N320+N333+N356</f>
        <v>1827485.96</v>
      </c>
      <c r="O40" s="703">
        <f ca="1">IF(L40&gt;0,N40*100/L40,0)</f>
        <v>81.894039278072171</v>
      </c>
      <c r="P40" s="703">
        <f ca="1">IF(M40&gt;0,N40*100/M40,0)</f>
        <v>78.036346026585903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413350</v>
      </c>
      <c r="M44" s="79">
        <f ca="1">M45+M46</f>
        <v>445659.48</v>
      </c>
      <c r="N44" s="79">
        <f ca="1">N45+N46</f>
        <v>434232.72</v>
      </c>
      <c r="O44" s="79">
        <f t="shared" ref="O44:O52" ca="1" si="10">IF(L44&gt;0,N44*100/L44,0)</f>
        <v>105.05206725535261</v>
      </c>
      <c r="P44" s="79">
        <f t="shared" ref="P44:P52" ca="1" si="11">IF(M44&gt;0,N44*100/M44,0)</f>
        <v>97.43598857136395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413350</v>
      </c>
      <c r="M46" s="83">
        <f t="shared" ca="1" si="14"/>
        <v>445659.48</v>
      </c>
      <c r="N46" s="83">
        <f t="shared" ca="1" si="14"/>
        <v>434232.72</v>
      </c>
      <c r="O46" s="83">
        <f t="shared" ca="1" si="10"/>
        <v>105.05206725535261</v>
      </c>
      <c r="P46" s="83">
        <f t="shared" ca="1" si="11"/>
        <v>97.43598857136395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413350</v>
      </c>
      <c r="M47" s="47">
        <f ca="1">M48+M49</f>
        <v>445659.48</v>
      </c>
      <c r="N47" s="47">
        <f ca="1">N48+N49</f>
        <v>434232.72</v>
      </c>
      <c r="O47" s="47">
        <f t="shared" ca="1" si="10"/>
        <v>105.05206725535261</v>
      </c>
      <c r="P47" s="47">
        <f t="shared" ca="1" si="11"/>
        <v>97.43598857136395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IFERROR(__xludf.DUMMYFUNCTION("IMPORTRANGE(""https://docs.google.com/spreadsheets/d/1-uDff_7J0KD5mKrp0Vvzr7lt3OU09vwQwhkpOPPYv2Y/edit?usp=sharing"",""งบพรบ!P78"")"),413350)</f>
        <v>413350</v>
      </c>
      <c r="M49" s="47">
        <f ca="1">IFERROR(__xludf.DUMMYFUNCTION("IMPORTRANGE(""https://docs.google.com/spreadsheets/d/1-uDff_7J0KD5mKrp0Vvzr7lt3OU09vwQwhkpOPPYv2Y/edit?usp=sharing"",""งบพรบ!V78"")"),445659.48)</f>
        <v>445659.48</v>
      </c>
      <c r="N49" s="47">
        <f ca="1">IFERROR(__xludf.DUMMYFUNCTION("IMPORTRANGE(""https://docs.google.com/spreadsheets/d/1-uDff_7J0KD5mKrp0Vvzr7lt3OU09vwQwhkpOPPYv2Y/edit?usp=sharing"",""งบพรบ!Y78"")"),434232.72)</f>
        <v>434232.72</v>
      </c>
      <c r="O49" s="47">
        <f t="shared" ca="1" si="10"/>
        <v>105.05206725535261</v>
      </c>
      <c r="P49" s="47">
        <f t="shared" ca="1" si="11"/>
        <v>97.43598857136395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509100</v>
      </c>
      <c r="M59" s="106">
        <f ca="1">M60+M61</f>
        <v>534100</v>
      </c>
      <c r="N59" s="106">
        <f ca="1">N60+N61</f>
        <v>534340.18000000005</v>
      </c>
      <c r="O59" s="106">
        <f t="shared" ref="O59:O67" ca="1" si="16">IF(L59&gt;0,N59*100/L59,0)</f>
        <v>104.9578039677863</v>
      </c>
      <c r="P59" s="106">
        <f t="shared" ref="P59:P67" ca="1" si="17">IF(M59&gt;0,N59*100/M59,0)</f>
        <v>100.04496910690884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509100</v>
      </c>
      <c r="M61" s="109">
        <f t="shared" ca="1" si="20"/>
        <v>534100</v>
      </c>
      <c r="N61" s="109">
        <f t="shared" ca="1" si="20"/>
        <v>534340.18000000005</v>
      </c>
      <c r="O61" s="109">
        <f t="shared" ca="1" si="16"/>
        <v>104.9578039677863</v>
      </c>
      <c r="P61" s="109">
        <f t="shared" ca="1" si="17"/>
        <v>100.04496910690884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509100</v>
      </c>
      <c r="M62" s="47">
        <f ca="1">M63+M64</f>
        <v>534100</v>
      </c>
      <c r="N62" s="47">
        <f ca="1">N63+N64</f>
        <v>534340.18000000005</v>
      </c>
      <c r="O62" s="47">
        <f t="shared" ca="1" si="16"/>
        <v>104.9578039677863</v>
      </c>
      <c r="P62" s="47">
        <f t="shared" ca="1" si="17"/>
        <v>100.04496910690884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IFERROR(__xludf.DUMMYFUNCTION("IMPORTRANGE(""https://docs.google.com/spreadsheets/d/1-uDff_7J0KD5mKrp0Vvzr7lt3OU09vwQwhkpOPPYv2Y/edit?usp=sharing"",""งบพรบ!AC78"")"),509100)</f>
        <v>509100</v>
      </c>
      <c r="M64" s="47">
        <f ca="1">IFERROR(__xludf.DUMMYFUNCTION("IMPORTRANGE(""https://docs.google.com/spreadsheets/d/1-uDff_7J0KD5mKrp0Vvzr7lt3OU09vwQwhkpOPPYv2Y/edit?usp=sharing"",""งบพรบ!AH78"")"),534100)</f>
        <v>534100</v>
      </c>
      <c r="N64" s="47">
        <f ca="1">IFERROR(__xludf.DUMMYFUNCTION("IMPORTRANGE(""https://docs.google.com/spreadsheets/d/1-uDff_7J0KD5mKrp0Vvzr7lt3OU09vwQwhkpOPPYv2Y/edit?usp=sharing"",""งบพรบ!AJ78"")"),534340.18)</f>
        <v>534340.18000000005</v>
      </c>
      <c r="O64" s="47">
        <f t="shared" ca="1" si="16"/>
        <v>104.9578039677863</v>
      </c>
      <c r="P64" s="47">
        <f t="shared" ca="1" si="17"/>
        <v>100.04496910690884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IFERROR(__xludf.DUMMYFUNCTION("IMPORTRANGE(""https://docs.google.com/spreadsheets/d/1-uDff_7J0KD5mKrp0Vvzr7lt3OU09vwQwhkpOPPYv2Y/edit?usp=sharing"",""งบพรบ!AF78"")"),0)</f>
        <v>0</v>
      </c>
      <c r="M67" s="111">
        <f ca="1">IFERROR(__xludf.DUMMYFUNCTION("IMPORTRANGE(""https://docs.google.com/spreadsheets/d/1-uDff_7J0KD5mKrp0Vvzr7lt3OU09vwQwhkpOPPYv2Y/edit?usp=sharing"",""งบพรบ!AI78"")"),0)</f>
        <v>0</v>
      </c>
      <c r="N67" s="111">
        <f ca="1">IFERROR(__xludf.DUMMYFUNCTION("IMPORTRANGE(""https://docs.google.com/spreadsheets/d/1-uDff_7J0KD5mKrp0Vvzr7lt3OU09vwQwhkpOPPYv2Y/edit?usp=sharing"",""งบพรบ!AK78"")"),0)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IFERROR(__xludf.DUMMYFUNCTION("IMPORTRANGE(""https://docs.google.com/spreadsheets/d/1ItG2mGa2ceCfYo0BwxsXqNm01IGEUdYcSSLTEv9YCik/edit?usp=sharing"",""เบิกจ่ายกองทุน!AS78"")"),0)</f>
        <v>0</v>
      </c>
      <c r="R77" s="47">
        <f ca="1">IFERROR(__xludf.DUMMYFUNCTION("IMPORTRANGE(""https://docs.google.com/spreadsheets/d/1ItG2mGa2ceCfYo0BwxsXqNm01IGEUdYcSSLTEv9YCik/edit?usp=sharing"",""เบิกจ่ายกองทุน!AT78"")"),0)</f>
        <v>0</v>
      </c>
      <c r="S77" s="47">
        <f ca="1">IFERROR(__xludf.DUMMYFUNCTION("IMPORTRANGE(""https://docs.google.com/spreadsheets/d/1ItG2mGa2ceCfYo0BwxsXqNm01IGEUdYcSSLTEv9YCik/edit?usp=sharing"",""เบิกจ่ายกองทุน!AU78"")"),0)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IFERROR(__xludf.DUMMYFUNCTION("IMPORTRANGE(""https://docs.google.com/spreadsheets/d/1ItG2mGa2ceCfYo0BwxsXqNm01IGEUdYcSSLTEv9YCik/edit?usp=sharing"",""เบิกจ่ายกองทุน!AE78"")"),0)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IFERROR(__xludf.DUMMYFUNCTION("IMPORTRANGE(""https://docs.google.com/spreadsheets/d/1ItG2mGa2ceCfYo0BwxsXqNm01IGEUdYcSSLTEv9YCik/edit?usp=sharing"",""เบิกจ่ายกองทุน!AF78"")"),0)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52436</v>
      </c>
      <c r="T117" s="132">
        <f t="shared" ref="T117:T125" ca="1" si="37">IF(Q117&gt;0,S117*100/Q117,0)</f>
        <v>25.045854031333587</v>
      </c>
      <c r="U117" s="132">
        <f t="shared" ref="U117:U125" ca="1" si="38">IF(R117&gt;0,S117*100/R117,0)</f>
        <v>25.045854031333587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209360</v>
      </c>
      <c r="R119" s="47">
        <f t="shared" ca="1" si="40"/>
        <v>209360</v>
      </c>
      <c r="S119" s="47">
        <f t="shared" ca="1" si="40"/>
        <v>52436</v>
      </c>
      <c r="T119" s="47">
        <f t="shared" ca="1" si="37"/>
        <v>25.045854031333587</v>
      </c>
      <c r="U119" s="47">
        <f t="shared" ca="1" si="38"/>
        <v>25.045854031333587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52436</v>
      </c>
      <c r="T120" s="47">
        <f t="shared" ca="1" si="37"/>
        <v>25.045854031333587</v>
      </c>
      <c r="U120" s="47">
        <f t="shared" ca="1" si="38"/>
        <v>25.045854031333587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IFERROR(__xludf.DUMMYFUNCTION("IMPORTRANGE(""https://docs.google.com/spreadsheets/d/1ItG2mGa2ceCfYo0BwxsXqNm01IGEUdYcSSLTEv9YCik/edit?usp=sharing"",""เบิกจ่ายกองทุน!S78"")"),209360)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IFERROR(__xludf.DUMMYFUNCTION("IMPORTRANGE(""https://docs.google.com/spreadsheets/d/1ItG2mGa2ceCfYo0BwxsXqNm01IGEUdYcSSLTEv9YCik/edit?usp=sharing"",""เบิกจ่ายกองทุน!T78"")"),52436)</f>
        <v>52436</v>
      </c>
      <c r="T122" s="47">
        <f t="shared" ca="1" si="37"/>
        <v>25.045854031333587</v>
      </c>
      <c r="U122" s="47">
        <f t="shared" ca="1" si="38"/>
        <v>25.045854031333587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135400</v>
      </c>
      <c r="M139" s="132">
        <f ca="1">M140+M141</f>
        <v>130400</v>
      </c>
      <c r="N139" s="132">
        <f ca="1">N140+N141</f>
        <v>64161</v>
      </c>
      <c r="O139" s="132">
        <f t="shared" ref="O139:O147" ca="1" si="41">IF(L139&gt;0,N139*100/L139,0)</f>
        <v>47.386262924667655</v>
      </c>
      <c r="P139" s="132">
        <f t="shared" ref="P139:P147" ca="1" si="42">IF(M139&gt;0,N139*100/M139,0)</f>
        <v>49.203220858895705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135400</v>
      </c>
      <c r="M141" s="47">
        <f t="shared" ca="1" si="45"/>
        <v>130400</v>
      </c>
      <c r="N141" s="47">
        <f t="shared" ca="1" si="45"/>
        <v>64161</v>
      </c>
      <c r="O141" s="47">
        <f t="shared" ca="1" si="41"/>
        <v>47.386262924667655</v>
      </c>
      <c r="P141" s="47">
        <f t="shared" ca="1" si="42"/>
        <v>49.203220858895705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135400</v>
      </c>
      <c r="M142" s="47">
        <f ca="1">M143+M144</f>
        <v>130400</v>
      </c>
      <c r="N142" s="47">
        <f ca="1">N143+N144</f>
        <v>64161</v>
      </c>
      <c r="O142" s="47">
        <f t="shared" ca="1" si="41"/>
        <v>47.386262924667655</v>
      </c>
      <c r="P142" s="47">
        <f t="shared" ca="1" si="42"/>
        <v>49.203220858895705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IFERROR(__xludf.DUMMYFUNCTION("IMPORTRANGE(""https://docs.google.com/spreadsheets/d/1-uDff_7J0KD5mKrp0Vvzr7lt3OU09vwQwhkpOPPYv2Y/edit?usp=sharing"",""งบพรบ!BX78"")"),64161)</f>
        <v>64161</v>
      </c>
      <c r="O144" s="47">
        <f t="shared" ca="1" si="41"/>
        <v>47.386262924667655</v>
      </c>
      <c r="P144" s="47">
        <f t="shared" ca="1" si="42"/>
        <v>49.203220858895705</v>
      </c>
      <c r="Q144" s="47">
        <f ca="1">IFERROR(__xludf.DUMMYFUNCTION("IMPORTRANGE(""https://docs.google.com/spreadsheets/d/1ItG2mGa2ceCfYo0BwxsXqNm01IGEUdYcSSLTEv9YCik/edit?usp=sharing"",""เบิกจ่ายกองทุน!BB78"")"),0)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IFERROR(__xludf.DUMMYFUNCTION("IMPORTRANGE(""https://docs.google.com/spreadsheets/d/1ItG2mGa2ceCfYo0BwxsXqNm01IGEUdYcSSLTEv9YCik/edit?usp=sharing"",""เบิกจ่ายกองทุน!BC78"")"),0)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IFERROR(__xludf.DUMMYFUNCTION("IMPORTRANGE(""https://docs.google.com/spreadsheets/d/1ItG2mGa2ceCfYo0BwxsXqNm01IGEUdYcSSLTEv9YCik/edit?usp=sharing"",""เบิกจ่ายกองทุน!BD78"")"),0)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IFERROR(__xludf.DUMMYFUNCTION("IMPORTRANGE(""https://docs.google.com/spreadsheets/d/1ItG2mGa2ceCfYo0BwxsXqNm01IGEUdYcSSLTEv9YCik/edit?usp=sharing"",""เบิกจ่ายกองทุน!AI78"")"),0)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IFERROR(__xludf.DUMMYFUNCTION("IMPORTRANGE(""https://docs.google.com/spreadsheets/d/1eHaY18a8A9IcSdp1K8H6x8fbOy06t2VsZHhMHf-1x7Y/edit?usp=sharing"",""แผน!Z78"")"),0)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IFERROR(__xludf.DUMMYFUNCTION("IMPORTRANGE(""https://docs.google.com/spreadsheets/d/1eHaY18a8A9IcSdp1K8H6x8fbOy06t2VsZHhMHf-1x7Y/edit?usp=sharing"",""แผน!Z78"")"),0)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36520</v>
      </c>
      <c r="N173" s="132">
        <f ca="1">N174+N175</f>
        <v>17455</v>
      </c>
      <c r="O173" s="132">
        <f t="shared" ref="O173:O181" ca="1" si="53">IF(L173&gt;0,N173*100/L173,0)</f>
        <v>89.101582440020422</v>
      </c>
      <c r="P173" s="132">
        <f t="shared" ref="P173:P181" ca="1" si="54">IF(M173&gt;0,N173*100/M173,0)</f>
        <v>47.795728368017528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36520</v>
      </c>
      <c r="N175" s="47">
        <f t="shared" ca="1" si="57"/>
        <v>17455</v>
      </c>
      <c r="O175" s="47">
        <f t="shared" ca="1" si="53"/>
        <v>89.101582440020422</v>
      </c>
      <c r="P175" s="47">
        <f t="shared" ca="1" si="54"/>
        <v>47.795728368017528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36520</v>
      </c>
      <c r="N176" s="47">
        <f ca="1">N177+N178</f>
        <v>17455</v>
      </c>
      <c r="O176" s="47">
        <f t="shared" ca="1" si="53"/>
        <v>89.101582440020422</v>
      </c>
      <c r="P176" s="47">
        <f t="shared" ca="1" si="54"/>
        <v>47.795728368017528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IFERROR(__xludf.DUMMYFUNCTION("IMPORTRANGE(""https://docs.google.com/spreadsheets/d/1-uDff_7J0KD5mKrp0Vvzr7lt3OU09vwQwhkpOPPYv2Y/edit?usp=sharing"",""งบพรบ!CR78"")"),17455)</f>
        <v>17455</v>
      </c>
      <c r="O178" s="47">
        <f t="shared" ca="1" si="53"/>
        <v>89.101582440020422</v>
      </c>
      <c r="P178" s="47">
        <f t="shared" ca="1" si="54"/>
        <v>47.795728368017528</v>
      </c>
      <c r="Q178" s="47">
        <f ca="1">IFERROR(__xludf.DUMMYFUNCTION("IMPORTRANGE(""https://docs.google.com/spreadsheets/d/1ItG2mGa2ceCfYo0BwxsXqNm01IGEUdYcSSLTEv9YCik/edit?usp=sharing"",""เบิกจ่ายกองทุน!BE78"")"),0)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IFERROR(__xludf.DUMMYFUNCTION("IMPORTRANGE(""https://docs.google.com/spreadsheets/d/1ItG2mGa2ceCfYo0BwxsXqNm01IGEUdYcSSLTEv9YCik/edit?usp=sharing"",""เบิกจ่ายกองทุน!BF78"")"),0)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IFERROR(__xludf.DUMMYFUNCTION("IMPORTRANGE(""https://docs.google.com/spreadsheets/d/1ItG2mGa2ceCfYo0BwxsXqNm01IGEUdYcSSLTEv9YCik/edit?usp=sharing"",""เบิกจ่ายกองทุน!BG78"")"),0)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40</v>
      </c>
      <c r="J185" s="214">
        <f>J230+J231</f>
        <v>43</v>
      </c>
      <c r="K185" s="215">
        <f ca="1">IF(I185&gt;0,J185*100/I185,0)</f>
        <v>107.5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283100</v>
      </c>
      <c r="M186" s="132">
        <f ca="1">M187+M188</f>
        <v>263000</v>
      </c>
      <c r="N186" s="132">
        <f ca="1">N187+N188</f>
        <v>152577.74</v>
      </c>
      <c r="O186" s="132">
        <f t="shared" ref="O186:O194" ca="1" si="59">IF(L186&gt;0,N186*100/L186,0)</f>
        <v>53.895351465913102</v>
      </c>
      <c r="P186" s="132">
        <f t="shared" ref="P186:P194" ca="1" si="60">IF(M186&gt;0,N186*100/M186,0)</f>
        <v>58.014349809885928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283100</v>
      </c>
      <c r="M188" s="47">
        <f t="shared" ca="1" si="63"/>
        <v>263000</v>
      </c>
      <c r="N188" s="47">
        <f t="shared" ca="1" si="63"/>
        <v>152577.74</v>
      </c>
      <c r="O188" s="47">
        <f t="shared" ca="1" si="59"/>
        <v>53.895351465913102</v>
      </c>
      <c r="P188" s="47">
        <f t="shared" ca="1" si="60"/>
        <v>58.014349809885928</v>
      </c>
      <c r="Q188" s="47">
        <f t="shared" ca="1" si="64"/>
        <v>141400</v>
      </c>
      <c r="R188" s="47">
        <f t="shared" ca="1" si="64"/>
        <v>141400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283100</v>
      </c>
      <c r="M189" s="47">
        <f ca="1">M190+M191</f>
        <v>263000</v>
      </c>
      <c r="N189" s="47">
        <f ca="1">N190+N191</f>
        <v>152577.74</v>
      </c>
      <c r="O189" s="47">
        <f t="shared" ca="1" si="59"/>
        <v>53.895351465913102</v>
      </c>
      <c r="P189" s="47">
        <f t="shared" ca="1" si="60"/>
        <v>58.014349809885928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IFERROR(__xludf.DUMMYFUNCTION("IMPORTRANGE(""https://docs.google.com/spreadsheets/d/1-uDff_7J0KD5mKrp0Vvzr7lt3OU09vwQwhkpOPPYv2Y/edit?usp=sharing"",""งบพรบ!CU78"")"),283100)</f>
        <v>283100</v>
      </c>
      <c r="M191" s="47">
        <f ca="1">IFERROR(__xludf.DUMMYFUNCTION("IMPORTRANGE(""https://docs.google.com/spreadsheets/d/1-uDff_7J0KD5mKrp0Vvzr7lt3OU09vwQwhkpOPPYv2Y/edit?usp=sharing"",""งบพรบ!CZ78"")"),263000)</f>
        <v>263000</v>
      </c>
      <c r="N191" s="47">
        <f ca="1">IFERROR(__xludf.DUMMYFUNCTION("IMPORTRANGE(""https://docs.google.com/spreadsheets/d/1-uDff_7J0KD5mKrp0Vvzr7lt3OU09vwQwhkpOPPYv2Y/edit?usp=sharing"",""งบพรบ!DB78"")"),152577.74)</f>
        <v>152577.74</v>
      </c>
      <c r="O191" s="47">
        <f t="shared" ca="1" si="59"/>
        <v>53.895351465913102</v>
      </c>
      <c r="P191" s="47">
        <f t="shared" ca="1" si="60"/>
        <v>58.014349809885928</v>
      </c>
      <c r="Q191" s="47">
        <f ca="1">IFERROR(__xludf.DUMMYFUNCTION("IMPORTRANGE(""https://docs.google.com/spreadsheets/d/1ItG2mGa2ceCfYo0BwxsXqNm01IGEUdYcSSLTEv9YCik/edit?usp=sharing"",""เบิกจ่ายกองทุน!AV78"")"),141400)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IFERROR(__xludf.DUMMYFUNCTION("IMPORTRANGE(""https://docs.google.com/spreadsheets/d/1ItG2mGa2ceCfYo0BwxsXqNm01IGEUdYcSSLTEv9YCik/edit?usp=sharing"",""เบิกจ่ายกองทุน!AW78"")"),141400)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IFERROR(__xludf.DUMMYFUNCTION("IMPORTRANGE(""https://docs.google.com/spreadsheets/d/1ItG2mGa2ceCfYo0BwxsXqNm01IGEUdYcSSLTEv9YCik/edit?usp=sharing"",""เบิกจ่ายกองทุน!AX78"")"),0)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672">
        <v>940</v>
      </c>
      <c r="O196" s="132">
        <f ca="1">IF(L196&gt;0,N196*100/L196,0)</f>
        <v>15.666666666666666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98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</f>
        <v>98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42000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IFERROR(__xludf.DUMMYFUNCTION("IMPORTRANGE(""https://docs.google.com/spreadsheets/d/1eHaY18a8A9IcSdp1K8H6x8fbOy06t2VsZHhMHf-1x7Y/edit?usp=sharing"",""แผน!AG78"")"),2000)</f>
        <v>2000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IFERROR(__xludf.DUMMYFUNCTION("IMPORTRANGE(""https://docs.google.com/spreadsheets/d/1eHaY18a8A9IcSdp1K8H6x8fbOy06t2VsZHhMHf-1x7Y/edit?usp=sharing"",""แผน!AH78"")"),0)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IFERROR(__xludf.DUMMYFUNCTION("IMPORTRANGE(""https://docs.google.com/spreadsheets/d/1eHaY18a8A9IcSdp1K8H6x8fbOy06t2VsZHhMHf-1x7Y/edit?usp=sharing"",""แผน!AI78"")"),0)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IFERROR(__xludf.DUMMYFUNCTION("IMPORTRANGE(""https://docs.google.com/spreadsheets/d/1eHaY18a8A9IcSdp1K8H6x8fbOy06t2VsZHhMHf-1x7Y/edit?usp=sharing"",""แผน!AJ78"")"),13000)</f>
        <v>13000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99400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IFERROR(__xludf.DUMMYFUNCTION("IMPORTRANGE(""https://docs.google.com/spreadsheets/d/1eHaY18a8A9IcSdp1K8H6x8fbOy06t2VsZHhMHf-1x7Y/edit?usp=sharing"",""แผน!AO78"")"),0)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646">
        <v>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IFERROR(__xludf.DUMMYFUNCTION("IMPORTRANGE(""https://docs.google.com/spreadsheets/d/1eHaY18a8A9IcSdp1K8H6x8fbOy06t2VsZHhMHf-1x7Y/edit?usp=sharing"",""แผน!AR78"")"),2500)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IFERROR(__xludf.DUMMYFUNCTION("IMPORTRANGE(""https://docs.google.com/spreadsheets/d/1eHaY18a8A9IcSdp1K8H6x8fbOy06t2VsZHhMHf-1x7Y/edit?usp=sharing"",""แผน!AS78"")"),6000)</f>
        <v>6000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IFERROR(__xludf.DUMMYFUNCTION("IMPORTRANGE(""https://docs.google.com/spreadsheets/d/1eHaY18a8A9IcSdp1K8H6x8fbOy06t2VsZHhMHf-1x7Y/edit?usp=sharing"",""แผน!AT78"")"),0)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40</v>
      </c>
      <c r="J231" s="650">
        <f>J242+J253</f>
        <v>43</v>
      </c>
      <c r="K231" s="649">
        <f ca="1">IF(I231&gt;0,J231*100/I231,0)</f>
        <v>107.5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209600</v>
      </c>
      <c r="M232" s="46"/>
      <c r="N232" s="662">
        <f>N243+N254</f>
        <v>107999.34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743" t="s">
        <v>309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15000</v>
      </c>
      <c r="M233" s="46"/>
      <c r="N233" s="49">
        <f>N244+N255</f>
        <v>4700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326" t="s">
        <v>87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91000</v>
      </c>
      <c r="M234" s="46"/>
      <c r="N234" s="49">
        <f>N245+N256</f>
        <v>64133.34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326" t="s">
        <v>88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45600</v>
      </c>
      <c r="M235" s="46"/>
      <c r="N235" s="49">
        <f>N246+N257</f>
        <v>39166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89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58000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40</v>
      </c>
      <c r="J238" s="327">
        <f>J249+J260</f>
        <v>43</v>
      </c>
      <c r="K238" s="49">
        <f ca="1">IF(I238&gt;0,J238*100/I238,0)</f>
        <v>107.5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 ca="1">I251+I262</f>
        <v>40</v>
      </c>
      <c r="J240" s="327">
        <f>J251+J262</f>
        <v>0</v>
      </c>
      <c r="K240" s="49">
        <f ca="1"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 ca="1">I252+I263</f>
        <v>6</v>
      </c>
      <c r="J241" s="327">
        <f>J252+J263</f>
        <v>0</v>
      </c>
      <c r="K241" s="49">
        <f ca="1"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742"/>
      <c r="B242" s="741"/>
      <c r="C242" s="740" t="s">
        <v>314</v>
      </c>
      <c r="D242" s="739"/>
      <c r="E242" s="739"/>
      <c r="F242" s="739"/>
      <c r="G242" s="738"/>
      <c r="H242" s="737" t="s">
        <v>35</v>
      </c>
      <c r="I242" s="736">
        <f ca="1">I249</f>
        <v>40</v>
      </c>
      <c r="J242" s="736">
        <f>J249</f>
        <v>43</v>
      </c>
      <c r="K242" s="735">
        <f ca="1">IF(I242&gt;0,J242*100/I242,0)</f>
        <v>107.5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536"/>
      <c r="B243" s="525"/>
      <c r="C243" s="532" t="s">
        <v>18</v>
      </c>
      <c r="D243" s="547" t="s">
        <v>19</v>
      </c>
      <c r="E243" s="525"/>
      <c r="F243" s="525"/>
      <c r="G243" s="524"/>
      <c r="H243" s="734" t="s">
        <v>14</v>
      </c>
      <c r="I243" s="528"/>
      <c r="J243" s="528"/>
      <c r="K243" s="533"/>
      <c r="L243" s="469">
        <f ca="1">L244+L245+L246+L247</f>
        <v>209600</v>
      </c>
      <c r="M243" s="46"/>
      <c r="N243" s="132">
        <f>N244+N245+N246+N247</f>
        <v>107999.34</v>
      </c>
      <c r="O243" s="132">
        <f ca="1">IF(L243&gt;0,N243*100/L243,0)</f>
        <v>51.526402671755726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536"/>
      <c r="B244" s="526"/>
      <c r="C244" s="525"/>
      <c r="D244" s="730" t="s">
        <v>309</v>
      </c>
      <c r="E244" s="525"/>
      <c r="F244" s="525"/>
      <c r="G244" s="524"/>
      <c r="H244" s="543" t="s">
        <v>14</v>
      </c>
      <c r="I244" s="528"/>
      <c r="J244" s="528"/>
      <c r="K244" s="533"/>
      <c r="L244" s="467">
        <f ca="1">IFERROR(__xludf.DUMMYFUNCTION("IMPORTRANGE(""https://docs.google.com/spreadsheets/d/1eHaY18a8A9IcSdp1K8H6x8fbOy06t2VsZHhMHf-1x7Y/edit?usp=sharing"",""แผน!AX78"")"),15000)</f>
        <v>15000</v>
      </c>
      <c r="M244" s="46"/>
      <c r="N244" s="646">
        <f>360+1740+1240+1360</f>
        <v>4700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527"/>
      <c r="B245" s="526"/>
      <c r="C245" s="526"/>
      <c r="D245" s="218" t="s">
        <v>307</v>
      </c>
      <c r="E245" s="525"/>
      <c r="F245" s="525"/>
      <c r="G245" s="524"/>
      <c r="H245" s="543" t="s">
        <v>14</v>
      </c>
      <c r="I245" s="475"/>
      <c r="J245" s="475"/>
      <c r="K245" s="472"/>
      <c r="L245" s="467">
        <f ca="1">IFERROR(__xludf.DUMMYFUNCTION("IMPORTRANGE(""https://docs.google.com/spreadsheets/d/1eHaY18a8A9IcSdp1K8H6x8fbOy06t2VsZHhMHf-1x7Y/edit?usp=sharing"",""แผน!AY78"")"),91000)</f>
        <v>91000</v>
      </c>
      <c r="M245" s="46"/>
      <c r="N245" s="646">
        <f>13000+12133.34+13000+13000+13000</f>
        <v>64133.34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527"/>
      <c r="B246" s="526"/>
      <c r="C246" s="526"/>
      <c r="D246" s="218" t="s">
        <v>88</v>
      </c>
      <c r="E246" s="525"/>
      <c r="F246" s="525"/>
      <c r="G246" s="524"/>
      <c r="H246" s="543" t="s">
        <v>14</v>
      </c>
      <c r="I246" s="475"/>
      <c r="J246" s="475"/>
      <c r="K246" s="472"/>
      <c r="L246" s="467">
        <f ca="1">IFERROR(__xludf.DUMMYFUNCTION("IMPORTRANGE(""https://docs.google.com/spreadsheets/d/1eHaY18a8A9IcSdp1K8H6x8fbOy06t2VsZHhMHf-1x7Y/edit?usp=sharing"",""แผน!AZ78"")"),45600)</f>
        <v>45600</v>
      </c>
      <c r="M246" s="46"/>
      <c r="N246" s="646">
        <f>11681+11550+8660+7275</f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527"/>
      <c r="B247" s="526"/>
      <c r="C247" s="526"/>
      <c r="D247" s="48" t="s">
        <v>89</v>
      </c>
      <c r="E247" s="525"/>
      <c r="F247" s="525"/>
      <c r="G247" s="524"/>
      <c r="H247" s="543" t="s">
        <v>14</v>
      </c>
      <c r="I247" s="475"/>
      <c r="J247" s="475"/>
      <c r="K247" s="472"/>
      <c r="L247" s="467">
        <f ca="1">IFERROR(__xludf.DUMMYFUNCTION("IMPORTRANGE(""https://docs.google.com/spreadsheets/d/1eHaY18a8A9IcSdp1K8H6x8fbOy06t2VsZHhMHf-1x7Y/edit?usp=sharing"",""แผน!BA78"")"),58000)</f>
        <v>58000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81"/>
      <c r="B248" s="480"/>
      <c r="C248" s="733" t="s">
        <v>18</v>
      </c>
      <c r="D248" s="531" t="s">
        <v>38</v>
      </c>
      <c r="E248" s="530"/>
      <c r="F248" s="530"/>
      <c r="G248" s="529"/>
      <c r="H248" s="477"/>
      <c r="I248" s="528"/>
      <c r="J248" s="475"/>
      <c r="K248" s="472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481"/>
      <c r="B249" s="480"/>
      <c r="C249" s="480"/>
      <c r="D249" s="478" t="s">
        <v>108</v>
      </c>
      <c r="E249" s="479"/>
      <c r="F249" s="479"/>
      <c r="G249" s="477"/>
      <c r="H249" s="731" t="s">
        <v>35</v>
      </c>
      <c r="I249" s="483">
        <f ca="1">IFERROR(__xludf.DUMMYFUNCTION("IMPORTRANGE(""https://docs.google.com/spreadsheets/d/1eHaY18a8A9IcSdp1K8H6x8fbOy06t2VsZHhMHf-1x7Y/edit?usp=sharing"",""แผน!BG78"")"),40)</f>
        <v>40</v>
      </c>
      <c r="J249" s="474">
        <v>43</v>
      </c>
      <c r="K249" s="482">
        <f ca="1">IF(I249&gt;0,J249*100/I249,0)</f>
        <v>107.5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81"/>
      <c r="B250" s="480"/>
      <c r="C250" s="480"/>
      <c r="D250" s="732" t="s">
        <v>43</v>
      </c>
      <c r="E250" s="479"/>
      <c r="F250" s="479"/>
      <c r="G250" s="477"/>
      <c r="H250" s="477"/>
      <c r="I250" s="475"/>
      <c r="J250" s="475"/>
      <c r="K250" s="472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481"/>
      <c r="B251" s="480"/>
      <c r="C251" s="480"/>
      <c r="D251" s="480"/>
      <c r="E251" s="320" t="s">
        <v>109</v>
      </c>
      <c r="F251" s="479"/>
      <c r="G251" s="477"/>
      <c r="H251" s="731" t="s">
        <v>35</v>
      </c>
      <c r="I251" s="483">
        <f ca="1">IFERROR(__xludf.DUMMYFUNCTION("IMPORTRANGE(""https://docs.google.com/spreadsheets/d/1eHaY18a8A9IcSdp1K8H6x8fbOy06t2VsZHhMHf-1x7Y/edit?usp=sharing"",""แผน!KR78"")"),40)</f>
        <v>40</v>
      </c>
      <c r="J251" s="474">
        <v>0</v>
      </c>
      <c r="K251" s="482">
        <f ca="1"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81"/>
      <c r="B252" s="480"/>
      <c r="C252" s="480"/>
      <c r="D252" s="480"/>
      <c r="E252" s="320" t="s">
        <v>110</v>
      </c>
      <c r="F252" s="479"/>
      <c r="G252" s="477"/>
      <c r="H252" s="731" t="s">
        <v>61</v>
      </c>
      <c r="I252" s="483">
        <f ca="1">IFERROR(__xludf.DUMMYFUNCTION("IMPORTRANGE(""https://docs.google.com/spreadsheets/d/1eHaY18a8A9IcSdp1K8H6x8fbOy06t2VsZHhMHf-1x7Y/edit?usp=sharing"",""แผน!KS78"")"),6)</f>
        <v>6</v>
      </c>
      <c r="J252" s="474">
        <v>0</v>
      </c>
      <c r="K252" s="482">
        <f ca="1"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730" t="s">
        <v>309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IFERROR(__xludf.DUMMYFUNCTION("IMPORTRANGE(""https://docs.google.com/spreadsheets/d/1eHaY18a8A9IcSdp1K8H6x8fbOy06t2VsZHhMHf-1x7Y/edit?usp=sharing"",""แผน!BB78"")"),0)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IFERROR(__xludf.DUMMYFUNCTION("IMPORTRANGE(""https://docs.google.com/spreadsheets/d/1eHaY18a8A9IcSdp1K8H6x8fbOy06t2VsZHhMHf-1x7Y/edit?usp=sharing"",""แผน!BC78"")"),0)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IFERROR(__xludf.DUMMYFUNCTION("IMPORTRANGE(""https://docs.google.com/spreadsheets/d/1eHaY18a8A9IcSdp1K8H6x8fbOy06t2VsZHhMHf-1x7Y/edit?usp=sharing"",""แผน!BD78"")"),0)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IFERROR(__xludf.DUMMYFUNCTION("IMPORTRANGE(""https://docs.google.com/spreadsheets/d/1eHaY18a8A9IcSdp1K8H6x8fbOy06t2VsZHhMHf-1x7Y/edit?usp=sharing"",""แผน!BE78"")"),0)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IFERROR(__xludf.DUMMYFUNCTION("IMPORTRANGE(""https://docs.google.com/spreadsheets/d/1eHaY18a8A9IcSdp1K8H6x8fbOy06t2VsZHhMHf-1x7Y/edit?usp=sharing"",""แผน!BH78"")"),0)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24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53440</v>
      </c>
      <c r="R266" s="624">
        <f ca="1">R267+R268</f>
        <v>53440</v>
      </c>
      <c r="S266" s="624">
        <f ca="1">S267+S268</f>
        <v>4298</v>
      </c>
      <c r="T266" s="624">
        <f t="shared" ref="T266:T274" ca="1" si="67">IF(Q266&gt;0,S266*100/Q266,0)</f>
        <v>8.0426646706586826</v>
      </c>
      <c r="U266" s="624">
        <f t="shared" ref="U266:U274" ca="1" si="68">IF(R266&gt;0,S266*100/R266,0)</f>
        <v>8.0426646706586826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53440</v>
      </c>
      <c r="R268" s="482">
        <f t="shared" ca="1" si="70"/>
        <v>53440</v>
      </c>
      <c r="S268" s="482">
        <f t="shared" ca="1" si="70"/>
        <v>4298</v>
      </c>
      <c r="T268" s="482">
        <f t="shared" ca="1" si="67"/>
        <v>8.0426646706586826</v>
      </c>
      <c r="U268" s="482">
        <f t="shared" ca="1" si="68"/>
        <v>8.0426646706586826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53440</v>
      </c>
      <c r="R269" s="482">
        <f ca="1">R270+R271</f>
        <v>53440</v>
      </c>
      <c r="S269" s="482">
        <f ca="1">S270+S271</f>
        <v>4298</v>
      </c>
      <c r="T269" s="482">
        <f t="shared" ca="1" si="67"/>
        <v>8.0426646706586826</v>
      </c>
      <c r="U269" s="482">
        <f t="shared" ca="1" si="68"/>
        <v>8.0426646706586826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IFERROR(__xludf.DUMMYFUNCTION("IMPORTRANGE(""https://docs.google.com/spreadsheets/d/1-uDff_7J0KD5mKrp0Vvzr7lt3OU09vwQwhkpOPPYv2Y/edit?usp=sharing"",""งบพรบ!DE78"")"),0)</f>
        <v>0</v>
      </c>
      <c r="M271" s="482">
        <f ca="1">IFERROR(__xludf.DUMMYFUNCTION("IMPORTRANGE(""https://docs.google.com/spreadsheets/d/1-uDff_7J0KD5mKrp0Vvzr7lt3OU09vwQwhkpOPPYv2Y/edit?usp=sharing"",""งบพรบ!DJ78"")"),5000)</f>
        <v>5000</v>
      </c>
      <c r="N271" s="482">
        <f ca="1">IFERROR(__xludf.DUMMYFUNCTION("IMPORTRANGE(""https://docs.google.com/spreadsheets/d/1-uDff_7J0KD5mKrp0Vvzr7lt3OU09vwQwhkpOPPYv2Y/edit?usp=sharing"",""งบพรบ!DL78"")"),0)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IFERROR(__xludf.DUMMYFUNCTION("IMPORTRANGE(""https://docs.google.com/spreadsheets/d/1ItG2mGa2ceCfYo0BwxsXqNm01IGEUdYcSSLTEv9YCik/edit?usp=sharing"",""เบิกจ่ายกองทุน!AJ78"")"),53440)</f>
        <v>53440</v>
      </c>
      <c r="R271" s="482">
        <f ca="1">IFERROR(__xludf.DUMMYFUNCTION("IMPORTRANGE(""https://docs.google.com/spreadsheets/d/1ItG2mGa2ceCfYo0BwxsXqNm01IGEUdYcSSLTEv9YCik/edit?usp=sharing"",""เบิกจ่ายกองทุน!AK78"")"),53440)</f>
        <v>53440</v>
      </c>
      <c r="S271" s="482">
        <f ca="1">IFERROR(__xludf.DUMMYFUNCTION("IMPORTRANGE(""https://docs.google.com/spreadsheets/d/1ItG2mGa2ceCfYo0BwxsXqNm01IGEUdYcSSLTEv9YCik/edit?usp=sharing"",""เบิกจ่ายกองทุน!AL78"")"),4298)</f>
        <v>4298</v>
      </c>
      <c r="T271" s="482">
        <f t="shared" ca="1" si="67"/>
        <v>8.0426646706586826</v>
      </c>
      <c r="U271" s="482">
        <f t="shared" ca="1" si="68"/>
        <v>8.0426646706586826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IFERROR(__xludf.DUMMYFUNCTION("IMPORTRANGE(""https://docs.google.com/spreadsheets/d/1-uDff_7J0KD5mKrp0Vvzr7lt3OU09vwQwhkpOPPYv2Y/edit?usp=sharing"",""งบพรบ!DH78"")"),0)</f>
        <v>0</v>
      </c>
      <c r="M274" s="482">
        <f ca="1">IFERROR(__xludf.DUMMYFUNCTION("IMPORTRANGE(""https://docs.google.com/spreadsheets/d/1-uDff_7J0KD5mKrp0Vvzr7lt3OU09vwQwhkpOPPYv2Y/edit?usp=sharing"",""งบพรบ!DK78"")"),0)</f>
        <v>0</v>
      </c>
      <c r="N274" s="482">
        <f ca="1">IFERROR(__xludf.DUMMYFUNCTION("IMPORTRANGE(""https://docs.google.com/spreadsheets/d/1-uDff_7J0KD5mKrp0Vvzr7lt3OU09vwQwhkpOPPYv2Y/edit?usp=sharing"",""งบพรบ!DM78"")"),0)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260958.39</v>
      </c>
      <c r="R305" s="47">
        <f t="shared" ca="1" si="82"/>
        <v>260958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IFERROR(__xludf.DUMMYFUNCTION("IMPORTRANGE(""https://docs.google.com/spreadsheets/d/1ItG2mGa2ceCfYo0BwxsXqNm01IGEUdYcSSLTEv9YCik/edit?usp=sharing"",""เบิกจ่ายกองทุน!AQ78"")"),260958)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IFERROR(__xludf.DUMMYFUNCTION("IMPORTRANGE(""https://docs.google.com/spreadsheets/d/1ItG2mGa2ceCfYo0BwxsXqNm01IGEUdYcSSLTEv9YCik/edit?usp=sharing"",""เบิกจ่ายกองทุน!AR78"")"),0)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1060</v>
      </c>
      <c r="J332" s="596">
        <f ca="1">J344+J347+J348+J349+J353</f>
        <v>6463</v>
      </c>
      <c r="K332" s="595">
        <f ca="1">IF(I332&gt;0,J332*100/I332,0)</f>
        <v>609.71698113207549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110000</v>
      </c>
      <c r="M333" s="132">
        <f ca="1">M334+M335</f>
        <v>166175</v>
      </c>
      <c r="N333" s="132">
        <f ca="1">N334+N335</f>
        <v>131446.6</v>
      </c>
      <c r="O333" s="132">
        <f t="shared" ref="O333:O341" ca="1" si="89">IF(L333&gt;0,N333*100/L333,0)</f>
        <v>119.49690909090909</v>
      </c>
      <c r="P333" s="132">
        <f t="shared" ref="P333:P341" ca="1" si="90">IF(M333&gt;0,N333*100/M333,0)</f>
        <v>79.101308861140367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110000</v>
      </c>
      <c r="M335" s="47">
        <f t="shared" ca="1" si="93"/>
        <v>166175</v>
      </c>
      <c r="N335" s="47">
        <f t="shared" ca="1" si="93"/>
        <v>131446.6</v>
      </c>
      <c r="O335" s="47">
        <f t="shared" ca="1" si="89"/>
        <v>119.49690909090909</v>
      </c>
      <c r="P335" s="47">
        <f t="shared" ca="1" si="90"/>
        <v>79.101308861140367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110000</v>
      </c>
      <c r="M336" s="47">
        <f ca="1">M337+M338</f>
        <v>166175</v>
      </c>
      <c r="N336" s="47">
        <f ca="1">N337+N338</f>
        <v>131446.6</v>
      </c>
      <c r="O336" s="47">
        <f t="shared" ca="1" si="89"/>
        <v>119.49690909090909</v>
      </c>
      <c r="P336" s="47">
        <f t="shared" ca="1" si="90"/>
        <v>79.101308861140367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IFERROR(__xludf.DUMMYFUNCTION("IMPORTRANGE(""https://docs.google.com/spreadsheets/d/1-uDff_7J0KD5mKrp0Vvzr7lt3OU09vwQwhkpOPPYv2Y/edit?usp=sharing"",""งบพรบ!ES78"")"),110000)</f>
        <v>110000</v>
      </c>
      <c r="M338" s="47">
        <f ca="1">IFERROR(__xludf.DUMMYFUNCTION("IMPORTRANGE(""https://docs.google.com/spreadsheets/d/1-uDff_7J0KD5mKrp0Vvzr7lt3OU09vwQwhkpOPPYv2Y/edit?usp=sharing"",""งบพรบ!EX78"")"),166175)</f>
        <v>166175</v>
      </c>
      <c r="N338" s="47">
        <f ca="1">IFERROR(__xludf.DUMMYFUNCTION("IMPORTRANGE(""https://docs.google.com/spreadsheets/d/1-uDff_7J0KD5mKrp0Vvzr7lt3OU09vwQwhkpOPPYv2Y/edit?usp=sharing"",""งบพรบ!EZ78"")"),131446.6)</f>
        <v>131446.6</v>
      </c>
      <c r="O338" s="47">
        <f t="shared" ca="1" si="89"/>
        <v>119.49690909090909</v>
      </c>
      <c r="P338" s="47">
        <f t="shared" ca="1" si="90"/>
        <v>79.101308861140367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1915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IFERROR(__xludf.DUMMYFUNCTION("IMPORTRANGE(""https://docs.google.com/spreadsheets/d/1awYsYK3VOup2i3Pq_Yjnu8DRu_mYwSBnCR2QPthd0rU/edit?usp=sharing"",""ศูนย์ยกเว้นโฉนด!D78"")"),1913)</f>
        <v>1913</v>
      </c>
      <c r="K344" s="47">
        <f ca="1">IF(I344&gt;0,J344*100/I344,0)</f>
        <v>180.47169811320754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IFERROR(__xludf.DUMMYFUNCTION("IMPORTRANGE(""https://docs.google.com/spreadsheets/d/1awYsYK3VOup2i3Pq_Yjnu8DRu_mYwSBnCR2QPthd0rU/edit?usp=sharing"",""ศูนย์รวม!E78"")"),5)</f>
        <v>5</v>
      </c>
      <c r="K346" s="47">
        <f ca="1">IF(I346&gt;0,J346*100/I346,0)</f>
        <v>100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6647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IFERROR(__xludf.DUMMYFUNCTION("IMPORTRANGE(""https://docs.google.com/spreadsheets/d/1awYsYK3VOup2i3Pq_Yjnu8DRu_mYwSBnCR2QPthd0rU/edit?usp=sharing"",""โฉนดM3!G78"")"),2099)</f>
        <v>2099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IFERROR(__xludf.DUMMYFUNCTION("IMPORTRANGE(""https://docs.google.com/spreadsheets/d/1awYsYK3VOup2i3Pq_Yjnu8DRu_mYwSBnCR2QPthd0rU/edit?usp=sharing"",""โฉนดM3!H78"")"),4548)</f>
        <v>4548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760985</v>
      </c>
      <c r="M356" s="132">
        <f ca="1">M357+M358</f>
        <v>760985</v>
      </c>
      <c r="N356" s="132">
        <f ca="1">N357+N358</f>
        <v>493272.72</v>
      </c>
      <c r="O356" s="132">
        <f t="shared" ref="O356:O364" ca="1" si="95">IF(L356&gt;0,N356*100/L356,0)</f>
        <v>64.820294749567992</v>
      </c>
      <c r="P356" s="132">
        <f t="shared" ref="P356:P364" ca="1" si="96">IF(M356&gt;0,N356*100/M356,0)</f>
        <v>64.820294749567992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760985</v>
      </c>
      <c r="M358" s="47">
        <f t="shared" ca="1" si="99"/>
        <v>760985</v>
      </c>
      <c r="N358" s="47">
        <f t="shared" ca="1" si="99"/>
        <v>493272.72</v>
      </c>
      <c r="O358" s="47">
        <f t="shared" ca="1" si="95"/>
        <v>64.820294749567992</v>
      </c>
      <c r="P358" s="47">
        <f t="shared" ca="1" si="96"/>
        <v>64.820294749567992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760985</v>
      </c>
      <c r="M359" s="47">
        <f ca="1">M360+M361</f>
        <v>760985</v>
      </c>
      <c r="N359" s="47">
        <f ca="1">N360+N361</f>
        <v>493272.72</v>
      </c>
      <c r="O359" s="47">
        <f t="shared" ca="1" si="95"/>
        <v>64.820294749567992</v>
      </c>
      <c r="P359" s="47">
        <f t="shared" ca="1" si="96"/>
        <v>64.820294749567992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IFERROR(__xludf.DUMMYFUNCTION("IMPORTRANGE(""https://docs.google.com/spreadsheets/d/1-uDff_7J0KD5mKrp0Vvzr7lt3OU09vwQwhkpOPPYv2Y/edit?usp=sharing"",""งบพรบ!FC78"")"),760985)</f>
        <v>760985</v>
      </c>
      <c r="M361" s="47">
        <f ca="1">IFERROR(__xludf.DUMMYFUNCTION("IMPORTRANGE(""https://docs.google.com/spreadsheets/d/1-uDff_7J0KD5mKrp0Vvzr7lt3OU09vwQwhkpOPPYv2Y/edit?usp=sharing"",""งบพรบ!FH78"")"),760985)</f>
        <v>760985</v>
      </c>
      <c r="N361" s="47">
        <f ca="1">IFERROR(__xludf.DUMMYFUNCTION("IMPORTRANGE(""https://docs.google.com/spreadsheets/d/1-uDff_7J0KD5mKrp0Vvzr7lt3OU09vwQwhkpOPPYv2Y/edit?usp=sharing"",""งบพรบ!FJ78"")"),493272.72)</f>
        <v>493272.72</v>
      </c>
      <c r="O361" s="47">
        <f t="shared" ca="1" si="95"/>
        <v>64.820294749567992</v>
      </c>
      <c r="P361" s="47">
        <f t="shared" ca="1" si="96"/>
        <v>64.820294749567992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717</v>
      </c>
      <c r="J365" s="228">
        <f ca="1">J371</f>
        <v>229</v>
      </c>
      <c r="K365" s="229">
        <f ca="1">IF(I365&gt;0,J365*100/I365,0)</f>
        <v>31.938633193863318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IFERROR(__xludf.DUMMYFUNCTION("IMPORTRANGE(""https://docs.google.com/spreadsheets/d/1tdoBKaGub7dwA3U6UFTqxio9LNnvDCQjHKmttSEBsFQ/edit?usp=sharing"",""จัดที่ดิน!AB78"")"),250)</f>
        <v>250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IFERROR(__xludf.DUMMYFUNCTION("IMPORTRANGE(""https://docs.google.com/spreadsheets/d/1eHaY18a8A9IcSdp1K8H6x8fbOy06t2VsZHhMHf-1x7Y/edit?usp=sharing"",""แผน!EW78"")"),1530)</f>
        <v>1530</v>
      </c>
      <c r="J368" s="584">
        <f ca="1">IFERROR(__xludf.DUMMYFUNCTION("IMPORTRANGE(""https://docs.google.com/spreadsheets/d/1tdoBKaGub7dwA3U6UFTqxio9LNnvDCQjHKmttSEBsFQ/edit?usp=sharing"",""จัดที่ดิน!AC78"")"),1522.57)</f>
        <v>1522.57</v>
      </c>
      <c r="K368" s="47">
        <f t="shared" ca="1" si="101"/>
        <v>99.514379084967317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IFERROR(__xludf.DUMMYFUNCTION("IMPORTRANGE(""https://docs.google.com/spreadsheets/d/1eHaY18a8A9IcSdp1K8H6x8fbOy06t2VsZHhMHf-1x7Y/edit?usp=sharing"",""แผน!EX78"")"),717)</f>
        <v>717</v>
      </c>
      <c r="J369" s="152">
        <f ca="1">IFERROR(__xludf.DUMMYFUNCTION("IMPORTRANGE(""https://docs.google.com/spreadsheets/d/1tdoBKaGub7dwA3U6UFTqxio9LNnvDCQjHKmttSEBsFQ/edit?usp=sharing"",""จัดที่ดิน!AD78"")"),438)</f>
        <v>438</v>
      </c>
      <c r="K369" s="47">
        <f t="shared" ca="1" si="101"/>
        <v>61.087866108786613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IFERROR(__xludf.DUMMYFUNCTION("IMPORTRANGE(""https://docs.google.com/spreadsheets/d/1tdoBKaGub7dwA3U6UFTqxio9LNnvDCQjHKmttSEBsFQ/edit?usp=sharing"",""จัดที่ดิน!AE78"")"),3816.06999999999)</f>
        <v>3816.0699999999902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IFERROR(__xludf.DUMMYFUNCTION("IMPORTRANGE(""https://docs.google.com/spreadsheets/d/1eHaY18a8A9IcSdp1K8H6x8fbOy06t2VsZHhMHf-1x7Y/edit?usp=sharing"",""แผน!EY78"")"),717)</f>
        <v>717</v>
      </c>
      <c r="J371" s="152">
        <f ca="1">IFERROR(__xludf.DUMMYFUNCTION("IMPORTRANGE(""https://docs.google.com/spreadsheets/d/1tdoBKaGub7dwA3U6UFTqxio9LNnvDCQjHKmttSEBsFQ/edit?usp=sharing"",""จัดที่ดิน!AF78"")"),229)</f>
        <v>229</v>
      </c>
      <c r="K371" s="47">
        <f t="shared" ca="1" si="101"/>
        <v>31.938633193863318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IFERROR(__xludf.DUMMYFUNCTION("IMPORTRANGE(""https://docs.google.com/spreadsheets/d/1tdoBKaGub7dwA3U6UFTqxio9LNnvDCQjHKmttSEBsFQ/edit?usp=sharing"",""จัดที่ดิน!AG78"")"),2325.94)</f>
        <v>2325.94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IFERROR(__xludf.DUMMYFUNCTION("IMPORTRANGE(""https://docs.google.com/spreadsheets/d/1ItG2mGa2ceCfYo0BwxsXqNm01IGEUdYcSSLTEv9YCik/edit?usp=sharing"",""เบิกจ่ายกองทุน!AZ78"")"),0)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IFERROR(__xludf.DUMMYFUNCTION("IMPORTRANGE(""https://docs.google.com/spreadsheets/d/1ItG2mGa2ceCfYo0BwxsXqNm01IGEUdYcSSLTEv9YCik/edit?usp=sharing"",""เบิกจ่ายกองทุน!BA78"")"),0)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IFERROR(__xludf.DUMMYFUNCTION("IMPORTRANGE(""https://docs.google.com/spreadsheets/d/1w5rwWK1o49a35cNtocGL0gxDwhFSTZUQu90BiH9_zqM/edit?usp=sharing"",""RTK!L78"")"),0)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IFERROR(__xludf.DUMMYFUNCTION("IMPORTRANGE(""https://docs.google.com/spreadsheets/d/1w5rwWK1o49a35cNtocGL0gxDwhFSTZUQu90BiH9_zqM/edit?usp=sharing"",""RTK!K78"")"),0)</f>
        <v>0</v>
      </c>
      <c r="J388" s="483">
        <f ca="1">IFERROR(__xludf.DUMMYFUNCTION("IMPORTRANGE(""https://docs.google.com/spreadsheets/d/1w5rwWK1o49a35cNtocGL0gxDwhFSTZUQu90BiH9_zqM/edit?usp=sharing"",""RTK!M78"")"),0)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IFERROR(__xludf.DUMMYFUNCTION("IMPORTRANGE(""https://docs.google.com/spreadsheets/d/1ItG2mGa2ceCfYo0BwxsXqNm01IGEUdYcSSLTEv9YCik/edit?usp=sharing"",""เบิกจ่ายกองทุน!BH78"")"),0)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IFERROR(__xludf.DUMMYFUNCTION("IMPORTRANGE(""https://docs.google.com/spreadsheets/d/1ItG2mGa2ceCfYo0BwxsXqNm01IGEUdYcSSLTEv9YCik/edit?usp=sharing"",""เบิกจ่ายกองทุน!BI78"")"),0)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IFERROR(__xludf.DUMMYFUNCTION("IMPORTRANGE(""https://docs.google.com/spreadsheets/d/1ItG2mGa2ceCfYo0BwxsXqNm01IGEUdYcSSLTEv9YCik/edit?usp=sharing"",""เบิกจ่ายกองทุน!BJ78"")"),0)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IFERROR(__xludf.DUMMYFUNCTION("IMPORTRANGE(""https://docs.google.com/spreadsheets/d/1eHaY18a8A9IcSdp1K8H6x8fbOy06t2VsZHhMHf-1x7Y/edit?usp=sharing"",""แผน!HN78"")"),0)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IFERROR(__xludf.DUMMYFUNCTION("IMPORTRANGE(""https://docs.google.com/spreadsheets/d/1eHaY18a8A9IcSdp1K8H6x8fbOy06t2VsZHhMHf-1x7Y/edit?usp=sharing"",""แผน!HO78"")"),0)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IFERROR(__xludf.DUMMYFUNCTION("IMPORTRANGE(""https://docs.google.com/spreadsheets/d/1ItG2mGa2ceCfYo0BwxsXqNm01IGEUdYcSSLTEv9YCik/edit?usp=sharing"",""เบิกจ่ายกองทุน!Y78"")"),0)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IFERROR(__xludf.DUMMYFUNCTION("IMPORTRANGE(""https://docs.google.com/spreadsheets/d/1ItG2mGa2ceCfYo0BwxsXqNm01IGEUdYcSSLTEv9YCik/edit?usp=sharing"",""เบิกจ่ายกองทุน!Z78"")"),0)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100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300</v>
      </c>
      <c r="T616" s="132">
        <f t="shared" ref="T616:T624" ca="1" si="159">IF(Q616&gt;0,S616*100/Q616,0)</f>
        <v>2.3668639053254439</v>
      </c>
      <c r="U616" s="132">
        <f t="shared" ref="U616:U624" ca="1" si="160">IF(R616&gt;0,S616*100/R616,0)</f>
        <v>2.3668639053254439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12675</v>
      </c>
      <c r="R618" s="47">
        <f t="shared" ca="1" si="162"/>
        <v>12675</v>
      </c>
      <c r="S618" s="47">
        <f t="shared" ca="1" si="162"/>
        <v>300</v>
      </c>
      <c r="T618" s="47">
        <f t="shared" ca="1" si="159"/>
        <v>2.3668639053254439</v>
      </c>
      <c r="U618" s="47">
        <f t="shared" ca="1" si="160"/>
        <v>2.3668639053254439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12675</v>
      </c>
      <c r="R619" s="47">
        <f ca="1">R620+R621</f>
        <v>12675</v>
      </c>
      <c r="S619" s="47">
        <f ca="1">S620+S621</f>
        <v>300</v>
      </c>
      <c r="T619" s="47">
        <f t="shared" ca="1" si="159"/>
        <v>2.3668639053254439</v>
      </c>
      <c r="U619" s="47">
        <f t="shared" ca="1" si="160"/>
        <v>2.3668639053254439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IFERROR(__xludf.DUMMYFUNCTION("IMPORTRANGE(""https://docs.google.com/spreadsheets/d/1ItG2mGa2ceCfYo0BwxsXqNm01IGEUdYcSSLTEv9YCik/edit?usp=sharing"",""เบิกจ่ายกองทุน!H78"")"),300)</f>
        <v>300</v>
      </c>
      <c r="T621" s="47">
        <f t="shared" ca="1" si="159"/>
        <v>2.3668639053254439</v>
      </c>
      <c r="U621" s="47">
        <f t="shared" ca="1" si="160"/>
        <v>2.3668639053254439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32" t="s">
        <v>35</v>
      </c>
      <c r="I689" s="433">
        <f ca="1">I707</f>
        <v>45</v>
      </c>
      <c r="J689" s="43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178410</v>
      </c>
      <c r="R692" s="47">
        <f t="shared" ca="1" si="174"/>
        <v>178410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IFERROR(__xludf.DUMMYFUNCTION("IMPORTRANGE(""https://docs.google.com/spreadsheets/d/1eHaY18a8A9IcSdp1K8H6x8fbOy06t2VsZHhMHf-1x7Y/edit?usp=sharing"",""แผน!GA78"")"),21)</f>
        <v>21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IFERROR(__xludf.DUMMYFUNCTION("IMPORTRANGE(""https://docs.google.com/spreadsheets/d/1eHaY18a8A9IcSdp1K8H6x8fbOy06t2VsZHhMHf-1x7Y/edit?usp=sharing"",""แผน!FZ78"")"),200)</f>
        <v>200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19670</v>
      </c>
      <c r="T728" s="132">
        <f t="shared" ref="T728:T736" ca="1" si="184">IF(Q728&gt;0,S728*100/Q728,0)</f>
        <v>11.176517381274362</v>
      </c>
      <c r="U728" s="132">
        <f t="shared" ref="U728:U736" ca="1" si="185">IF(R728&gt;0,S728*100/R728,0)</f>
        <v>11.176517381274362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175994</v>
      </c>
      <c r="R730" s="47">
        <f t="shared" ca="1" si="187"/>
        <v>175994</v>
      </c>
      <c r="S730" s="47">
        <f t="shared" ca="1" si="187"/>
        <v>19670</v>
      </c>
      <c r="T730" s="47">
        <f t="shared" ca="1" si="184"/>
        <v>11.176517381274362</v>
      </c>
      <c r="U730" s="47">
        <f t="shared" ca="1" si="185"/>
        <v>11.176517381274362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19670</v>
      </c>
      <c r="T731" s="47">
        <f t="shared" ca="1" si="184"/>
        <v>11.176517381274362</v>
      </c>
      <c r="U731" s="47">
        <f t="shared" ca="1" si="185"/>
        <v>11.176517381274362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IFERROR(__xludf.DUMMYFUNCTION("IMPORTRANGE(""https://docs.google.com/spreadsheets/d/1ItG2mGa2ceCfYo0BwxsXqNm01IGEUdYcSSLTEv9YCik/edit?usp=sharing"",""เบิกจ่ายกองทุน!Q78"")"),19670)</f>
        <v>19670</v>
      </c>
      <c r="T733" s="47">
        <f t="shared" ca="1" si="184"/>
        <v>11.176517381274362</v>
      </c>
      <c r="U733" s="47">
        <f t="shared" ca="1" si="185"/>
        <v>11.176517381274362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IFERROR(__xludf.DUMMYFUNCTION("IMPORTRANGE(""https://docs.google.com/spreadsheets/d/1eHaY18a8A9IcSdp1K8H6x8fbOy06t2VsZHhMHf-1x7Y/edit?usp=sharing"",""แผน!GB78"")"),160)</f>
        <v>160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IFERROR(__xludf.DUMMYFUNCTION("IMPORTRANGE(""https://docs.google.com/spreadsheets/d/1eHaY18a8A9IcSdp1K8H6x8fbOy06t2VsZHhMHf-1x7Y/edit?usp=sharing"",""แผน!GC78"")"),16)</f>
        <v>16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IFERROR(__xludf.DUMMYFUNCTION("IMPORTRANGE(""https://docs.google.com/spreadsheets/d/1eHaY18a8A9IcSdp1K8H6x8fbOy06t2VsZHhMHf-1x7Y/edit?usp=sharing"",""แผน!GD78"")"),40)</f>
        <v>40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IFERROR(__xludf.DUMMYFUNCTION("IMPORTRANGE(""https://docs.google.com/spreadsheets/d/1eHaY18a8A9IcSdp1K8H6x8fbOy06t2VsZHhMHf-1x7Y/edit?usp=sharing"",""แผน!GE78"")"),4)</f>
        <v>4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IFERROR(__xludf.DUMMYFUNCTION("IMPORTRANGE(""https://docs.google.com/spreadsheets/d/1eHaY18a8A9IcSdp1K8H6x8fbOy06t2VsZHhMHf-1x7Y/edit?usp=sharing"",""แผน!GF78"")"),1)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IFERROR(__xludf.DUMMYFUNCTION("IMPORTRANGE(""https://docs.google.com/spreadsheets/d/1eHaY18a8A9IcSdp1K8H6x8fbOy06t2VsZHhMHf-1x7Y/edit?usp=sharing"",""แผน!GB78"")"),160)</f>
        <v>160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IFERROR(__xludf.DUMMYFUNCTION("IMPORTRANGE(""https://docs.google.com/spreadsheets/d/1eHaY18a8A9IcSdp1K8H6x8fbOy06t2VsZHhMHf-1x7Y/edit?usp=sharing"",""แผน!GD78"")"),40)</f>
        <v>40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IFERROR(__xludf.DUMMYFUNCTION("IMPORTRANGE(""https://docs.google.com/spreadsheets/d/1ItG2mGa2ceCfYo0BwxsXqNm01IGEUdYcSSLTEv9YCik/edit?usp=sharing"",""เบิกจ่ายกองทุน!V78"")"),0)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IFERROR(__xludf.DUMMYFUNCTION("IMPORTRANGE(""https://docs.google.com/spreadsheets/d/1ItG2mGa2ceCfYo0BwxsXqNm01IGEUdYcSSLTEv9YCik/edit?usp=sharing"",""เบิกจ่ายกองทุน!W78"")"),0)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IFERROR(__xludf.DUMMYFUNCTION("IMPORTRANGE(""https://docs.google.com/spreadsheets/d/1eHaY18a8A9IcSdp1K8H6x8fbOy06t2VsZHhMHf-1x7Y/edit?usp=sharing"",""แผน!FI78"")"),0)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IFERROR(__xludf.DUMMYFUNCTION("IMPORTRANGE(""https://docs.google.com/spreadsheets/d/10OvvATaaLtwErnr3qtWFcTmtbfpFEt5Bsqel9sXx0uE/edit?usp=sharing"",""งานกองทุน!D78"")"),2822736.1)</f>
        <v>2822736.1</v>
      </c>
      <c r="J778" s="152">
        <f ca="1">IFERROR(__xludf.DUMMYFUNCTION("IMPORTRANGE(""https://docs.google.com/spreadsheets/d/10OvvATaaLtwErnr3qtWFcTmtbfpFEt5Bsqel9sXx0uE/edit?usp=sharing"",""งานกองทุน!F78"")"),1114094.44)</f>
        <v>1114094.44</v>
      </c>
      <c r="K778" s="47">
        <f t="shared" ref="K778:K785" ca="1" si="194">IF(I778&gt;0,J778*100/I778,0)</f>
        <v>39.468600695615862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IFERROR(__xludf.DUMMYFUNCTION("IMPORTRANGE(""https://docs.google.com/spreadsheets/d/10OvvATaaLtwErnr3qtWFcTmtbfpFEt5Bsqel9sXx0uE/edit?usp=sharing"",""งานกองทุน!C78"")"),161)</f>
        <v>161</v>
      </c>
      <c r="J779" s="152">
        <f ca="1">IFERROR(__xludf.DUMMYFUNCTION("IMPORTRANGE(""https://docs.google.com/spreadsheets/d/10OvvATaaLtwErnr3qtWFcTmtbfpFEt5Bsqel9sXx0uE/edit?usp=sharing"",""งานกองทุน!E78"")"),67)</f>
        <v>67</v>
      </c>
      <c r="K779" s="47">
        <f t="shared" ca="1" si="194"/>
        <v>41.614906832298139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IFERROR(__xludf.DUMMYFUNCTION("IMPORTRANGE(""https://docs.google.com/spreadsheets/d/10OvvATaaLtwErnr3qtWFcTmtbfpFEt5Bsqel9sXx0uE/edit?usp=sharing"",""งานกองทุน!K78"")"),183995.56)</f>
        <v>183995.56</v>
      </c>
      <c r="K780" s="47">
        <f t="shared" ca="1" si="194"/>
        <v>7.9597965546305334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IFERROR(__xludf.DUMMYFUNCTION("IMPORTRANGE(""https://docs.google.com/spreadsheets/d/10OvvATaaLtwErnr3qtWFcTmtbfpFEt5Bsqel9sXx0uE/edit?usp=sharing"",""งานกองทุน!J78"")"),41)</f>
        <v>41</v>
      </c>
      <c r="K781" s="47">
        <f t="shared" ca="1" si="194"/>
        <v>41.414141414141412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IFERROR(__xludf.DUMMYFUNCTION("IMPORTRANGE(""https://docs.google.com/spreadsheets/d/10OvvATaaLtwErnr3qtWFcTmtbfpFEt5Bsqel9sXx0uE/edit?usp=sharing"",""งานกองทุน!U78"")"),1000000)</f>
        <v>1000000</v>
      </c>
      <c r="K784" s="47">
        <f t="shared" ca="1" si="194"/>
        <v>28.571428571428573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IFERROR(__xludf.DUMMYFUNCTION("IMPORTRANGE(""https://docs.google.com/spreadsheets/d/10OvvATaaLtwErnr3qtWFcTmtbfpFEt5Bsqel9sXx0uE/edit?usp=sharing"",""งานกองทุน!T78"")"),27)</f>
        <v>27</v>
      </c>
      <c r="K785" s="111">
        <f t="shared" ca="1" si="194"/>
        <v>21.6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FD1E-B07B-474C-A593-146FB793848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317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1135795</v>
      </c>
      <c r="M18" s="35">
        <f ca="1">M19+M20</f>
        <v>1251294</v>
      </c>
      <c r="N18" s="35">
        <f ca="1">N19+N20</f>
        <v>1071258.49</v>
      </c>
      <c r="O18" s="35">
        <f t="shared" ref="O18:O26" ca="1" si="0">IF(L18&gt;0,N18*100/L18,0)</f>
        <v>94.317943819087077</v>
      </c>
      <c r="P18" s="35">
        <f t="shared" ref="P18:P26" ca="1" si="1">IF(M18&gt;0,N18*100/M18,0)</f>
        <v>85.612053602111089</v>
      </c>
      <c r="Q18" s="35">
        <f ca="1">Q19+Q20</f>
        <v>627147</v>
      </c>
      <c r="R18" s="35">
        <f ca="1">R19+R20</f>
        <v>627147</v>
      </c>
      <c r="S18" s="35">
        <f ca="1">S19+S20</f>
        <v>195237</v>
      </c>
      <c r="T18" s="35">
        <f t="shared" ref="T18:T26" ca="1" si="2">IF(Q18&gt;0,S18*100/Q18,0)</f>
        <v>31.130978861415265</v>
      </c>
      <c r="U18" s="35">
        <f t="shared" ref="U18:U26" ca="1" si="3">IF(R18&gt;0,S18*100/R18,0)</f>
        <v>31.130978861415265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1135795</v>
      </c>
      <c r="M20" s="39">
        <f t="shared" ca="1" si="4"/>
        <v>1251294</v>
      </c>
      <c r="N20" s="39">
        <f t="shared" ca="1" si="4"/>
        <v>1071258.49</v>
      </c>
      <c r="O20" s="39">
        <f t="shared" ca="1" si="0"/>
        <v>94.317943819087077</v>
      </c>
      <c r="P20" s="39">
        <f t="shared" ca="1" si="1"/>
        <v>85.612053602111089</v>
      </c>
      <c r="Q20" s="39">
        <f t="shared" ca="1" si="5"/>
        <v>627147</v>
      </c>
      <c r="R20" s="39">
        <f t="shared" ca="1" si="5"/>
        <v>627147</v>
      </c>
      <c r="S20" s="39">
        <f t="shared" ca="1" si="5"/>
        <v>195237</v>
      </c>
      <c r="T20" s="39">
        <f t="shared" ca="1" si="2"/>
        <v>31.130978861415265</v>
      </c>
      <c r="U20" s="39">
        <f t="shared" ca="1" si="3"/>
        <v>31.130978861415265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1135795</v>
      </c>
      <c r="M21" s="47">
        <f ca="1">M22+M23</f>
        <v>1251294</v>
      </c>
      <c r="N21" s="47">
        <f ca="1">N22+N23</f>
        <v>1071258.49</v>
      </c>
      <c r="O21" s="47">
        <f t="shared" ca="1" si="0"/>
        <v>94.317943819087077</v>
      </c>
      <c r="P21" s="47">
        <f t="shared" ca="1" si="1"/>
        <v>85.612053602111089</v>
      </c>
      <c r="Q21" s="47">
        <f ca="1">Q22+Q23</f>
        <v>627147</v>
      </c>
      <c r="R21" s="47">
        <f ca="1">R22+R23</f>
        <v>627147</v>
      </c>
      <c r="S21" s="47">
        <f ca="1">S22+S23</f>
        <v>195237</v>
      </c>
      <c r="T21" s="47">
        <f t="shared" ca="1" si="2"/>
        <v>31.130978861415265</v>
      </c>
      <c r="U21" s="47">
        <f t="shared" ca="1" si="3"/>
        <v>31.130978861415265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1135795</v>
      </c>
      <c r="M23" s="47">
        <f t="shared" ca="1" si="6"/>
        <v>1251294</v>
      </c>
      <c r="N23" s="47">
        <f t="shared" ca="1" si="6"/>
        <v>1071258.49</v>
      </c>
      <c r="O23" s="47">
        <f t="shared" ca="1" si="0"/>
        <v>94.317943819087077</v>
      </c>
      <c r="P23" s="47">
        <f t="shared" ca="1" si="1"/>
        <v>85.612053602111089</v>
      </c>
      <c r="Q23" s="47">
        <f t="shared" ca="1" si="7"/>
        <v>627147</v>
      </c>
      <c r="R23" s="47">
        <f t="shared" ca="1" si="7"/>
        <v>627147</v>
      </c>
      <c r="S23" s="47">
        <f t="shared" ca="1" si="7"/>
        <v>195237</v>
      </c>
      <c r="T23" s="47">
        <f t="shared" ca="1" si="2"/>
        <v>31.130978861415265</v>
      </c>
      <c r="U23" s="47">
        <f t="shared" ca="1" si="3"/>
        <v>31.130978861415265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1135795</v>
      </c>
      <c r="M40" s="703">
        <f ca="1">M44+M59+M72+M94+M125+M139+M157+M173+M186+M266+M282+M303+M320+M333+M356</f>
        <v>1251294</v>
      </c>
      <c r="N40" s="703">
        <f ca="1">N44+N59+N72+N94+N125+N139+N157+N173+N186+N266+N282+N303+N320+N333+N356</f>
        <v>1071258.49</v>
      </c>
      <c r="O40" s="703">
        <f ca="1">IF(L40&gt;0,N40*100/L40,0)</f>
        <v>94.317943819087077</v>
      </c>
      <c r="P40" s="703">
        <f ca="1">IF(M40&gt;0,N40*100/M40,0)</f>
        <v>85.612053602111089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201350</v>
      </c>
      <c r="M44" s="79">
        <f ca="1">M45+M46</f>
        <v>284999</v>
      </c>
      <c r="N44" s="79">
        <f ca="1">N45+N46</f>
        <v>254950</v>
      </c>
      <c r="O44" s="79">
        <f t="shared" ref="O44:O52" ca="1" si="10">IF(L44&gt;0,N44*100/L44,0)</f>
        <v>126.62031288800596</v>
      </c>
      <c r="P44" s="79">
        <f t="shared" ref="P44:P52" ca="1" si="11">IF(M44&gt;0,N44*100/M44,0)</f>
        <v>89.456454233172749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201350</v>
      </c>
      <c r="M46" s="83">
        <f t="shared" ca="1" si="14"/>
        <v>284999</v>
      </c>
      <c r="N46" s="83">
        <f t="shared" ca="1" si="14"/>
        <v>254950</v>
      </c>
      <c r="O46" s="83">
        <f t="shared" ca="1" si="10"/>
        <v>126.62031288800596</v>
      </c>
      <c r="P46" s="83">
        <f t="shared" ca="1" si="11"/>
        <v>89.456454233172749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201350</v>
      </c>
      <c r="M47" s="47">
        <f ca="1">M48+M49</f>
        <v>284999</v>
      </c>
      <c r="N47" s="47">
        <f ca="1">N48+N49</f>
        <v>254950</v>
      </c>
      <c r="O47" s="47">
        <f t="shared" ca="1" si="10"/>
        <v>126.62031288800596</v>
      </c>
      <c r="P47" s="47">
        <f t="shared" ca="1" si="11"/>
        <v>89.456454233172749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IFERROR(__xludf.DUMMYFUNCTION("IMPORTRANGE(""https://docs.google.com/spreadsheets/d/1-uDff_7J0KD5mKrp0Vvzr7lt3OU09vwQwhkpOPPYv2Y/edit?usp=sharing"",""งบพรบ!P79"")"),201350)</f>
        <v>201350</v>
      </c>
      <c r="M49" s="47">
        <f ca="1">IFERROR(__xludf.DUMMYFUNCTION("IMPORTRANGE(""https://docs.google.com/spreadsheets/d/1-uDff_7J0KD5mKrp0Vvzr7lt3OU09vwQwhkpOPPYv2Y/edit?usp=sharing"",""งบพรบ!V79"")"),284999)</f>
        <v>284999</v>
      </c>
      <c r="N49" s="47">
        <f ca="1">IFERROR(__xludf.DUMMYFUNCTION("IMPORTRANGE(""https://docs.google.com/spreadsheets/d/1-uDff_7J0KD5mKrp0Vvzr7lt3OU09vwQwhkpOPPYv2Y/edit?usp=sharing"",""งบพรบ!Y79"")"),254950)</f>
        <v>254950</v>
      </c>
      <c r="O49" s="47">
        <f t="shared" ca="1" si="10"/>
        <v>126.62031288800596</v>
      </c>
      <c r="P49" s="47">
        <f t="shared" ca="1" si="11"/>
        <v>89.456454233172749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380700</v>
      </c>
      <c r="M59" s="106">
        <f ca="1">M60+M61</f>
        <v>380700</v>
      </c>
      <c r="N59" s="106">
        <f ca="1">N60+N61</f>
        <v>347706.92</v>
      </c>
      <c r="O59" s="106">
        <f t="shared" ref="O59:O67" ca="1" si="16">IF(L59&gt;0,N59*100/L59,0)</f>
        <v>91.333574993433146</v>
      </c>
      <c r="P59" s="106">
        <f t="shared" ref="P59:P67" ca="1" si="17">IF(M59&gt;0,N59*100/M59,0)</f>
        <v>91.333574993433146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380700</v>
      </c>
      <c r="M61" s="109">
        <f t="shared" ca="1" si="20"/>
        <v>380700</v>
      </c>
      <c r="N61" s="109">
        <f t="shared" ca="1" si="20"/>
        <v>347706.92</v>
      </c>
      <c r="O61" s="109">
        <f t="shared" ca="1" si="16"/>
        <v>91.333574993433146</v>
      </c>
      <c r="P61" s="109">
        <f t="shared" ca="1" si="17"/>
        <v>91.333574993433146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380700</v>
      </c>
      <c r="M62" s="47">
        <f ca="1">M63+M64</f>
        <v>380700</v>
      </c>
      <c r="N62" s="47">
        <f ca="1">N63+N64</f>
        <v>347706.92</v>
      </c>
      <c r="O62" s="47">
        <f t="shared" ca="1" si="16"/>
        <v>91.333574993433146</v>
      </c>
      <c r="P62" s="47">
        <f t="shared" ca="1" si="17"/>
        <v>91.333574993433146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IFERROR(__xludf.DUMMYFUNCTION("IMPORTRANGE(""https://docs.google.com/spreadsheets/d/1-uDff_7J0KD5mKrp0Vvzr7lt3OU09vwQwhkpOPPYv2Y/edit?usp=sharing"",""งบพรบ!AC79"")"),380700)</f>
        <v>380700</v>
      </c>
      <c r="M64" s="47">
        <f ca="1">IFERROR(__xludf.DUMMYFUNCTION("IMPORTRANGE(""https://docs.google.com/spreadsheets/d/1-uDff_7J0KD5mKrp0Vvzr7lt3OU09vwQwhkpOPPYv2Y/edit?usp=sharing"",""งบพรบ!AH79"")"),380700)</f>
        <v>380700</v>
      </c>
      <c r="N64" s="47">
        <f ca="1">IFERROR(__xludf.DUMMYFUNCTION("IMPORTRANGE(""https://docs.google.com/spreadsheets/d/1-uDff_7J0KD5mKrp0Vvzr7lt3OU09vwQwhkpOPPYv2Y/edit?usp=sharing"",""งบพรบ!AJ79"")"),347706.92)</f>
        <v>347706.92</v>
      </c>
      <c r="O64" s="47">
        <f t="shared" ca="1" si="16"/>
        <v>91.333574993433146</v>
      </c>
      <c r="P64" s="47">
        <f t="shared" ca="1" si="17"/>
        <v>91.333574993433146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IFERROR(__xludf.DUMMYFUNCTION("IMPORTRANGE(""https://docs.google.com/spreadsheets/d/1-uDff_7J0KD5mKrp0Vvzr7lt3OU09vwQwhkpOPPYv2Y/edit?usp=sharing"",""งบพรบ!AI79"")"),0)</f>
        <v>0</v>
      </c>
      <c r="N67" s="111">
        <f ca="1">IFERROR(__xludf.DUMMYFUNCTION("IMPORTRANGE(""https://docs.google.com/spreadsheets/d/1-uDff_7J0KD5mKrp0Vvzr7lt3OU09vwQwhkpOPPYv2Y/edit?usp=sharing"",""งบพรบ!AK79"")"),0)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IFERROR(__xludf.DUMMYFUNCTION("IMPORTRANGE(""https://docs.google.com/spreadsheets/d/1ItG2mGa2ceCfYo0BwxsXqNm01IGEUdYcSSLTEv9YCik/edit?usp=sharing"",""เบิกจ่ายกองทุน!AS79"")"),0)</f>
        <v>0</v>
      </c>
      <c r="R77" s="47">
        <f ca="1">IFERROR(__xludf.DUMMYFUNCTION("IMPORTRANGE(""https://docs.google.com/spreadsheets/d/1ItG2mGa2ceCfYo0BwxsXqNm01IGEUdYcSSLTEv9YCik/edit?usp=sharing"",""เบิกจ่ายกองทุน!AT79"")"),0)</f>
        <v>0</v>
      </c>
      <c r="S77" s="47">
        <f ca="1">IFERROR(__xludf.DUMMYFUNCTION("IMPORTRANGE(""https://docs.google.com/spreadsheets/d/1ItG2mGa2ceCfYo0BwxsXqNm01IGEUdYcSSLTEv9YCik/edit?usp=sharing"",""เบิกจ่ายกองทุน!AU79"")"),0)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59940</v>
      </c>
      <c r="T94" s="132">
        <f t="shared" ref="T94:T102" ca="1" si="31">IF(Q94&gt;0,S94*100/Q94,0)</f>
        <v>35.501066098081026</v>
      </c>
      <c r="U94" s="132">
        <f t="shared" ref="U94:U102" ca="1" si="32">IF(R94&gt;0,S94*100/R94,0)</f>
        <v>35.501066098081026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168840</v>
      </c>
      <c r="R96" s="47">
        <f t="shared" ca="1" si="34"/>
        <v>168840</v>
      </c>
      <c r="S96" s="47">
        <f t="shared" ca="1" si="34"/>
        <v>59940</v>
      </c>
      <c r="T96" s="47">
        <f t="shared" ca="1" si="31"/>
        <v>35.501066098081026</v>
      </c>
      <c r="U96" s="47">
        <f t="shared" ca="1" si="32"/>
        <v>35.501066098081026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168840</v>
      </c>
      <c r="R97" s="47">
        <f ca="1">R98+R99</f>
        <v>168840</v>
      </c>
      <c r="S97" s="47">
        <f ca="1">S98+S99</f>
        <v>59940</v>
      </c>
      <c r="T97" s="47">
        <f t="shared" ca="1" si="31"/>
        <v>35.501066098081026</v>
      </c>
      <c r="U97" s="47">
        <f t="shared" ca="1" si="32"/>
        <v>35.501066098081026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IFERROR(__xludf.DUMMYFUNCTION("IMPORTRANGE(""https://docs.google.com/spreadsheets/d/1-uDff_7J0KD5mKrp0Vvzr7lt3OU09vwQwhkpOPPYv2Y/edit?usp=sharing"",""งบพรบ!AW79"")"),0)</f>
        <v>0</v>
      </c>
      <c r="M99" s="47">
        <f ca="1">IFERROR(__xludf.DUMMYFUNCTION("IMPORTRANGE(""https://docs.google.com/spreadsheets/d/1-uDff_7J0KD5mKrp0Vvzr7lt3OU09vwQwhkpOPPYv2Y/edit?usp=sharing"",""งบพรบ!BB79"")"),0)</f>
        <v>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IFERROR(__xludf.DUMMYFUNCTION("IMPORTRANGE(""https://docs.google.com/spreadsheets/d/1ItG2mGa2ceCfYo0BwxsXqNm01IGEUdYcSSLTEv9YCik/edit?usp=sharing"",""เบิกจ่ายกองทุน!AE79"")"),168840)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IFERROR(__xludf.DUMMYFUNCTION("IMPORTRANGE(""https://docs.google.com/spreadsheets/d/1ItG2mGa2ceCfYo0BwxsXqNm01IGEUdYcSSLTEv9YCik/edit?usp=sharing"",""เบิกจ่ายกองทุน!AF79"")"),59940)</f>
        <v>59940</v>
      </c>
      <c r="T99" s="47">
        <f t="shared" ca="1" si="31"/>
        <v>35.501066098081026</v>
      </c>
      <c r="U99" s="47">
        <f t="shared" ca="1" si="32"/>
        <v>35.501066098081026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105010</v>
      </c>
      <c r="T117" s="132">
        <f t="shared" ref="T117:T125" ca="1" si="37">IF(Q117&gt;0,S117*100/Q117,0)</f>
        <v>45.811883779774888</v>
      </c>
      <c r="U117" s="132">
        <f t="shared" ref="U117:U125" ca="1" si="38">IF(R117&gt;0,S117*100/R117,0)</f>
        <v>45.811883779774888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229220</v>
      </c>
      <c r="R119" s="47">
        <f t="shared" ca="1" si="40"/>
        <v>229220</v>
      </c>
      <c r="S119" s="47">
        <f t="shared" ca="1" si="40"/>
        <v>105010</v>
      </c>
      <c r="T119" s="47">
        <f t="shared" ca="1" si="37"/>
        <v>45.811883779774888</v>
      </c>
      <c r="U119" s="47">
        <f t="shared" ca="1" si="38"/>
        <v>45.811883779774888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105010</v>
      </c>
      <c r="T120" s="47">
        <f t="shared" ca="1" si="37"/>
        <v>45.811883779774888</v>
      </c>
      <c r="U120" s="47">
        <f t="shared" ca="1" si="38"/>
        <v>45.811883779774888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IFERROR(__xludf.DUMMYFUNCTION("IMPORTRANGE(""https://docs.google.com/spreadsheets/d/1ItG2mGa2ceCfYo0BwxsXqNm01IGEUdYcSSLTEv9YCik/edit?usp=sharing"",""เบิกจ่ายกองทุน!S79"")"),229220)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IFERROR(__xludf.DUMMYFUNCTION("IMPORTRANGE(""https://docs.google.com/spreadsheets/d/1ItG2mGa2ceCfYo0BwxsXqNm01IGEUdYcSSLTEv9YCik/edit?usp=sharing"",""เบิกจ่ายกองทุน!T79"")"),105010)</f>
        <v>105010</v>
      </c>
      <c r="T122" s="47">
        <f t="shared" ca="1" si="37"/>
        <v>45.811883779774888</v>
      </c>
      <c r="U122" s="47">
        <f t="shared" ca="1" si="38"/>
        <v>45.811883779774888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IFERROR(__xludf.DUMMYFUNCTION("IMPORTRANGE(""https://docs.google.com/spreadsheets/d/1eHaY18a8A9IcSdp1K8H6x8fbOy06t2VsZHhMHf-1x7Y/edit?usp=sharing"",""แผน!FG79"")"),0)</f>
        <v>0</v>
      </c>
      <c r="J128" s="167">
        <v>1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IFERROR(__xludf.DUMMYFUNCTION("IMPORTRANGE(""https://docs.google.com/spreadsheets/d/1eHaY18a8A9IcSdp1K8H6x8fbOy06t2VsZHhMHf-1x7Y/edit?usp=sharing"",""แผน!FI79"")"),0)</f>
        <v>0</v>
      </c>
      <c r="J130" s="167">
        <v>1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IFERROR(__xludf.DUMMYFUNCTION("IMPORTRANGE(""https://docs.google.com/spreadsheets/d/1ItG2mGa2ceCfYo0BwxsXqNm01IGEUdYcSSLTEv9YCik/edit?usp=sharing"",""เบิกจ่ายกองทุน!BD79"")"),0)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IFERROR(__xludf.DUMMYFUNCTION("IMPORTRANGE(""https://docs.google.com/spreadsheets/d/1ItG2mGa2ceCfYo0BwxsXqNm01IGEUdYcSSLTEv9YCik/edit?usp=sharing"",""เบิกจ่ายกองทุน!AI79"")"),0)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IFERROR(__xludf.DUMMYFUNCTION("IMPORTRANGE(""https://docs.google.com/spreadsheets/d/1eHaY18a8A9IcSdp1K8H6x8fbOy06t2VsZHhMHf-1x7Y/edit?usp=sharing"",""แผน!Z79"")"),0)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IFERROR(__xludf.DUMMYFUNCTION("IMPORTRANGE(""https://docs.google.com/spreadsheets/d/1eHaY18a8A9IcSdp1K8H6x8fbOy06t2VsZHhMHf-1x7Y/edit?usp=sharing"",""แผน!Z79"")"),0)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t="shared" ref="O173:O181" ca="1" si="53">IF(L173&gt;0,N173*100/L173,0)</f>
        <v>211.53649821337416</v>
      </c>
      <c r="P173" s="132">
        <f t="shared" ref="P173:P181" ca="1" si="54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41440</v>
      </c>
      <c r="N175" s="47">
        <f t="shared" ca="1" si="57"/>
        <v>41440</v>
      </c>
      <c r="O175" s="47">
        <f t="shared" ca="1" si="53"/>
        <v>211.53649821337416</v>
      </c>
      <c r="P175" s="47">
        <f t="shared" ca="1" si="54"/>
        <v>100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t="shared" ca="1" si="53"/>
        <v>211.53649821337416</v>
      </c>
      <c r="P176" s="47">
        <f t="shared" ca="1" si="54"/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t="shared" ca="1" si="53"/>
        <v>211.53649821337416</v>
      </c>
      <c r="P178" s="47">
        <f t="shared" ca="1" si="54"/>
        <v>100</v>
      </c>
      <c r="Q178" s="47">
        <f ca="1">IFERROR(__xludf.DUMMYFUNCTION("IMPORTRANGE(""https://docs.google.com/spreadsheets/d/1ItG2mGa2ceCfYo0BwxsXqNm01IGEUdYcSSLTEv9YCik/edit?usp=sharing"",""เบิกจ่ายกองทุน!BE79"")"),0)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IFERROR(__xludf.DUMMYFUNCTION("IMPORTRANGE(""https://docs.google.com/spreadsheets/d/1ItG2mGa2ceCfYo0BwxsXqNm01IGEUdYcSSLTEv9YCik/edit?usp=sharing"",""เบิกจ่ายกองทุน!BG79"")"),0)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89900</v>
      </c>
      <c r="M186" s="132">
        <f ca="1">M187+M188</f>
        <v>89900</v>
      </c>
      <c r="N186" s="132">
        <f ca="1">N187+N188</f>
        <v>79802.039999999994</v>
      </c>
      <c r="O186" s="132">
        <f t="shared" ref="O186:O194" ca="1" si="59">IF(L186&gt;0,N186*100/L186,0)</f>
        <v>88.767563959955496</v>
      </c>
      <c r="P186" s="132">
        <f t="shared" ref="P186:P194" ca="1" si="60">IF(M186&gt;0,N186*100/M186,0)</f>
        <v>88.767563959955496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89900</v>
      </c>
      <c r="M188" s="47">
        <f t="shared" ca="1" si="63"/>
        <v>89900</v>
      </c>
      <c r="N188" s="47">
        <f t="shared" ca="1" si="63"/>
        <v>79802.039999999994</v>
      </c>
      <c r="O188" s="47">
        <f t="shared" ca="1" si="59"/>
        <v>88.767563959955496</v>
      </c>
      <c r="P188" s="47">
        <f t="shared" ca="1" si="60"/>
        <v>88.767563959955496</v>
      </c>
      <c r="Q188" s="47">
        <f t="shared" ca="1" si="64"/>
        <v>0</v>
      </c>
      <c r="R188" s="47">
        <f t="shared" ca="1" si="64"/>
        <v>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89900</v>
      </c>
      <c r="M189" s="47">
        <f ca="1">M190+M191</f>
        <v>89900</v>
      </c>
      <c r="N189" s="47">
        <f ca="1">N190+N191</f>
        <v>79802.039999999994</v>
      </c>
      <c r="O189" s="47">
        <f t="shared" ca="1" si="59"/>
        <v>88.767563959955496</v>
      </c>
      <c r="P189" s="47">
        <f t="shared" ca="1" si="60"/>
        <v>88.767563959955496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IFERROR(__xludf.DUMMYFUNCTION("IMPORTRANGE(""https://docs.google.com/spreadsheets/d/1-uDff_7J0KD5mKrp0Vvzr7lt3OU09vwQwhkpOPPYv2Y/edit?usp=sharing"",""งบพรบ!CZ79"")"),89900)</f>
        <v>89900</v>
      </c>
      <c r="N191" s="47">
        <f ca="1">IFERROR(__xludf.DUMMYFUNCTION("IMPORTRANGE(""https://docs.google.com/spreadsheets/d/1-uDff_7J0KD5mKrp0Vvzr7lt3OU09vwQwhkpOPPYv2Y/edit?usp=sharing"",""งบพรบ!DB79"")"),79802.04)</f>
        <v>79802.039999999994</v>
      </c>
      <c r="O191" s="47">
        <f t="shared" ca="1" si="59"/>
        <v>88.767563959955496</v>
      </c>
      <c r="P191" s="47">
        <f t="shared" ca="1" si="60"/>
        <v>88.767563959955496</v>
      </c>
      <c r="Q191" s="47">
        <f ca="1">IFERROR(__xludf.DUMMYFUNCTION("IMPORTRANGE(""https://docs.google.com/spreadsheets/d/1ItG2mGa2ceCfYo0BwxsXqNm01IGEUdYcSSLTEv9YCik/edit?usp=sharing"",""เบิกจ่ายกองทุน!AV79"")"),0)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IFERROR(__xludf.DUMMYFUNCTION("IMPORTRANGE(""https://docs.google.com/spreadsheets/d/1ItG2mGa2ceCfYo0BwxsXqNm01IGEUdYcSSLTEv9YCik/edit?usp=sharing"",""เบิกจ่ายกองทุน!AW79"")"),0)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IFERROR(__xludf.DUMMYFUNCTION("IMPORTRANGE(""https://docs.google.com/spreadsheets/d/1ItG2mGa2ceCfYo0BwxsXqNm01IGEUdYcSSLTEv9YCik/edit?usp=sharing"",""เบิกจ่ายกองทุน!AX79"")"),0)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672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162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162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hidden="1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IFERROR(__xludf.DUMMYFUNCTION("IMPORTRANGE(""https://docs.google.com/spreadsheets/d/1eHaY18a8A9IcSdp1K8H6x8fbOy06t2VsZHhMHf-1x7Y/edit?usp=sharing"",""แผน!AG79"")"),0)</f>
        <v>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IFERROR(__xludf.DUMMYFUNCTION("IMPORTRANGE(""https://docs.google.com/spreadsheets/d/1eHaY18a8A9IcSdp1K8H6x8fbOy06t2VsZHhMHf-1x7Y/edit?usp=sharing"",""แผน!AH79"")"),0)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IFERROR(__xludf.DUMMYFUNCTION("IMPORTRANGE(""https://docs.google.com/spreadsheets/d/1eHaY18a8A9IcSdp1K8H6x8fbOy06t2VsZHhMHf-1x7Y/edit?usp=sharing"",""แผน!AI79"")"),0)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IFERROR(__xludf.DUMMYFUNCTION("IMPORTRANGE(""https://docs.google.com/spreadsheets/d/1eHaY18a8A9IcSdp1K8H6x8fbOy06t2VsZHhMHf-1x7Y/edit?usp=sharing"",""แผน!LV79"")"),0)</f>
        <v>0</v>
      </c>
      <c r="R206" s="46"/>
      <c r="S206" s="646">
        <v>0</v>
      </c>
      <c r="T206" s="136"/>
      <c r="U206" s="46"/>
    </row>
    <row r="207" spans="1:21" ht="18.75" hidden="1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IFERROR(__xludf.DUMMYFUNCTION("IMPORTRANGE(""https://docs.google.com/spreadsheets/d/1eHaY18a8A9IcSdp1K8H6x8fbOy06t2VsZHhMHf-1x7Y/edit?usp=sharing"",""แผน!AJ79"")"),0)</f>
        <v>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IFERROR(__xludf.DUMMYFUNCTION("IMPORTRANGE(""https://docs.google.com/spreadsheets/d/1eHaY18a8A9IcSdp1K8H6x8fbOy06t2VsZHhMHf-1x7Y/edit?usp=sharing"",""แผน!AM79"")"),0)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IFERROR(__xludf.DUMMYFUNCTION("IMPORTRANGE(""https://docs.google.com/spreadsheets/d/1eHaY18a8A9IcSdp1K8H6x8fbOy06t2VsZHhMHf-1x7Y/edit?usp=sharing"",""แผน!AN79"")"),0)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IFERROR(__xludf.DUMMYFUNCTION("IMPORTRANGE(""https://docs.google.com/spreadsheets/d/1eHaY18a8A9IcSdp1K8H6x8fbOy06t2VsZHhMHf-1x7Y/edit?usp=sharing"",""แผน!AO79"")"),0)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IFERROR(__xludf.DUMMYFUNCTION("IMPORTRANGE(""https://docs.google.com/spreadsheets/d/1eHaY18a8A9IcSdp1K8H6x8fbOy06t2VsZHhMHf-1x7Y/edit?usp=sharing"",""แผน!LY79"")"),0)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IFERROR(__xludf.DUMMYFUNCTION("IMPORTRANGE(""https://docs.google.com/spreadsheets/d/1eHaY18a8A9IcSdp1K8H6x8fbOy06t2VsZHhMHf-1x7Y/edit?usp=sharing"",""แผน!AR79"")"),2500)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IFERROR(__xludf.DUMMYFUNCTION("IMPORTRANGE(""https://docs.google.com/spreadsheets/d/1eHaY18a8A9IcSdp1K8H6x8fbOy06t2VsZHhMHf-1x7Y/edit?usp=sharing"",""แผน!AS79"")"),2000)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IFERROR(__xludf.DUMMYFUNCTION("IMPORTRANGE(""https://docs.google.com/spreadsheets/d/1eHaY18a8A9IcSdp1K8H6x8fbOy06t2VsZHhMHf-1x7Y/edit?usp=sharing"",""แผน!AT79"")"),0)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IFERROR(__xludf.DUMMYFUNCTION("IMPORTRANGE(""https://docs.google.com/spreadsheets/d/1eHaY18a8A9IcSdp1K8H6x8fbOy06t2VsZHhMHf-1x7Y/edit?usp=sharing"",""แผน!AX79"")"),0)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IFERROR(__xludf.DUMMYFUNCTION("IMPORTRANGE(""https://docs.google.com/spreadsheets/d/1eHaY18a8A9IcSdp1K8H6x8fbOy06t2VsZHhMHf-1x7Y/edit?usp=sharing"",""แผน!AY79"")"),0)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IFERROR(__xludf.DUMMYFUNCTION("IMPORTRANGE(""https://docs.google.com/spreadsheets/d/1eHaY18a8A9IcSdp1K8H6x8fbOy06t2VsZHhMHf-1x7Y/edit?usp=sharing"",""แผน!AZ79"")"),0)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IFERROR(__xludf.DUMMYFUNCTION("IMPORTRANGE(""https://docs.google.com/spreadsheets/d/1eHaY18a8A9IcSdp1K8H6x8fbOy06t2VsZHhMHf-1x7Y/edit?usp=sharing"",""แผน!BA79"")"),0)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IFERROR(__xludf.DUMMYFUNCTION("IMPORTRANGE(""https://docs.google.com/spreadsheets/d/1eHaY18a8A9IcSdp1K8H6x8fbOy06t2VsZHhMHf-1x7Y/edit?usp=sharing"",""แผน!BG79"")"),0)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IFERROR(__xludf.DUMMYFUNCTION("IMPORTRANGE(""https://docs.google.com/spreadsheets/d/1eHaY18a8A9IcSdp1K8H6x8fbOy06t2VsZHhMHf-1x7Y/edit?usp=sharing"",""แผน!BB79"")"),0)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IFERROR(__xludf.DUMMYFUNCTION("IMPORTRANGE(""https://docs.google.com/spreadsheets/d/1eHaY18a8A9IcSdp1K8H6x8fbOy06t2VsZHhMHf-1x7Y/edit?usp=sharing"",""แผน!BC79"")"),0)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IFERROR(__xludf.DUMMYFUNCTION("IMPORTRANGE(""https://docs.google.com/spreadsheets/d/1eHaY18a8A9IcSdp1K8H6x8fbOy06t2VsZHhMHf-1x7Y/edit?usp=sharing"",""แผน!BD79"")"),0)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IFERROR(__xludf.DUMMYFUNCTION("IMPORTRANGE(""https://docs.google.com/spreadsheets/d/1eHaY18a8A9IcSdp1K8H6x8fbOy06t2VsZHhMHf-1x7Y/edit?usp=sharing"",""แผน!BE79"")"),0)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IFERROR(__xludf.DUMMYFUNCTION("IMPORTRANGE(""https://docs.google.com/spreadsheets/d/1eHaY18a8A9IcSdp1K8H6x8fbOy06t2VsZHhMHf-1x7Y/edit?usp=sharing"",""แผน!BH79"")"),0)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20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47880</v>
      </c>
      <c r="R266" s="624">
        <f ca="1">R267+R268</f>
        <v>47880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47880</v>
      </c>
      <c r="R268" s="482">
        <f t="shared" ca="1" si="70"/>
        <v>47880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47880</v>
      </c>
      <c r="R269" s="482">
        <f ca="1">R270+R271</f>
        <v>47880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IFERROR(__xludf.DUMMYFUNCTION("IMPORTRANGE(""https://docs.google.com/spreadsheets/d/1-uDff_7J0KD5mKrp0Vvzr7lt3OU09vwQwhkpOPPYv2Y/edit?usp=sharing"",""งบพรบ!DE79"")"),0)</f>
        <v>0</v>
      </c>
      <c r="M271" s="482">
        <f ca="1">IFERROR(__xludf.DUMMYFUNCTION("IMPORTRANGE(""https://docs.google.com/spreadsheets/d/1-uDff_7J0KD5mKrp0Vvzr7lt3OU09vwQwhkpOPPYv2Y/edit?usp=sharing"",""งบพรบ!DJ79"")"),5000)</f>
        <v>5000</v>
      </c>
      <c r="N271" s="482">
        <f ca="1">IFERROR(__xludf.DUMMYFUNCTION("IMPORTRANGE(""https://docs.google.com/spreadsheets/d/1-uDff_7J0KD5mKrp0Vvzr7lt3OU09vwQwhkpOPPYv2Y/edit?usp=sharing"",""งบพรบ!DL79"")"),0)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IFERROR(__xludf.DUMMYFUNCTION("IMPORTRANGE(""https://docs.google.com/spreadsheets/d/1ItG2mGa2ceCfYo0BwxsXqNm01IGEUdYcSSLTEv9YCik/edit?usp=sharing"",""เบิกจ่ายกองทุน!AJ79"")"),47880)</f>
        <v>47880</v>
      </c>
      <c r="R271" s="482">
        <f ca="1">IFERROR(__xludf.DUMMYFUNCTION("IMPORTRANGE(""https://docs.google.com/spreadsheets/d/1ItG2mGa2ceCfYo0BwxsXqNm01IGEUdYcSSLTEv9YCik/edit?usp=sharing"",""เบิกจ่ายกองทุน!AK79"")"),47880)</f>
        <v>47880</v>
      </c>
      <c r="S271" s="482">
        <f ca="1">IFERROR(__xludf.DUMMYFUNCTION("IMPORTRANGE(""https://docs.google.com/spreadsheets/d/1ItG2mGa2ceCfYo0BwxsXqNm01IGEUdYcSSLTEv9YCik/edit?usp=sharing"",""เบิกจ่ายกองทุน!AL79"")"),0)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IFERROR(__xludf.DUMMYFUNCTION("IMPORTRANGE(""https://docs.google.com/spreadsheets/d/1-uDff_7J0KD5mKrp0Vvzr7lt3OU09vwQwhkpOPPYv2Y/edit?usp=sharing"",""งบพรบ!DH79"")"),0)</f>
        <v>0</v>
      </c>
      <c r="M274" s="482">
        <f ca="1">IFERROR(__xludf.DUMMYFUNCTION("IMPORTRANGE(""https://docs.google.com/spreadsheets/d/1-uDff_7J0KD5mKrp0Vvzr7lt3OU09vwQwhkpOPPYv2Y/edit?usp=sharing"",""งบพรบ!DK79"")"),0)</f>
        <v>0</v>
      </c>
      <c r="N274" s="482">
        <f ca="1">IFERROR(__xludf.DUMMYFUNCTION("IMPORTRANGE(""https://docs.google.com/spreadsheets/d/1-uDff_7J0KD5mKrp0Vvzr7lt3OU09vwQwhkpOPPYv2Y/edit?usp=sharing"",""งบพรบ!DM79"")"),0)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IFERROR(__xludf.DUMMYFUNCTION("IMPORTRANGE(""https://docs.google.com/spreadsheets/d/1eHaY18a8A9IcSdp1K8H6x8fbOy06t2VsZHhMHf-1x7Y/edit?usp=sharing"",""แผน!EC79"")"),20)</f>
        <v>20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0</v>
      </c>
      <c r="R305" s="47">
        <f t="shared" ca="1" si="82"/>
        <v>0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IFERROR(__xludf.DUMMYFUNCTION("IMPORTRANGE(""https://docs.google.com/spreadsheets/d/1ItG2mGa2ceCfYo0BwxsXqNm01IGEUdYcSSLTEv9YCik/edit?usp=sharing"",""เบิกจ่ายกองทุน!AQ79"")"),0)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IFERROR(__xludf.DUMMYFUNCTION("IMPORTRANGE(""https://docs.google.com/spreadsheets/d/1ItG2mGa2ceCfYo0BwxsXqNm01IGEUdYcSSLTEv9YCik/edit?usp=sharing"",""เบิกจ่ายกองทุน!AR79"")"),0)</f>
        <v>0</v>
      </c>
      <c r="T308" s="47">
        <f t="shared" ca="1" si="79"/>
        <v>0</v>
      </c>
      <c r="U308" s="47">
        <f t="shared" ca="1" si="80"/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hidden="1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200</v>
      </c>
      <c r="J332" s="596">
        <f ca="1">J344+J347+J348+J349+J353+J354</f>
        <v>535</v>
      </c>
      <c r="K332" s="595">
        <f ca="1">IF(I332&gt;0,J332*100/I332,0)</f>
        <v>267.5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165500</v>
      </c>
      <c r="M333" s="132">
        <f ca="1">M334+M335</f>
        <v>170500</v>
      </c>
      <c r="N333" s="132">
        <f ca="1">N334+N335</f>
        <v>130544.53</v>
      </c>
      <c r="O333" s="132">
        <f t="shared" ref="O333:O341" ca="1" si="89">IF(L333&gt;0,N333*100/L333,0)</f>
        <v>78.878870090634436</v>
      </c>
      <c r="P333" s="132">
        <f t="shared" ref="P333:P341" ca="1" si="90">IF(M333&gt;0,N333*100/M333,0)</f>
        <v>76.565706744868038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165500</v>
      </c>
      <c r="M335" s="47">
        <f t="shared" ca="1" si="93"/>
        <v>170500</v>
      </c>
      <c r="N335" s="47">
        <f t="shared" ca="1" si="93"/>
        <v>130544.53</v>
      </c>
      <c r="O335" s="47">
        <f t="shared" ca="1" si="89"/>
        <v>78.878870090634436</v>
      </c>
      <c r="P335" s="47">
        <f t="shared" ca="1" si="90"/>
        <v>76.565706744868038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165500</v>
      </c>
      <c r="M336" s="47">
        <f ca="1">M337+M338</f>
        <v>170500</v>
      </c>
      <c r="N336" s="47">
        <f ca="1">N337+N338</f>
        <v>130544.53</v>
      </c>
      <c r="O336" s="47">
        <f t="shared" ca="1" si="89"/>
        <v>78.878870090634436</v>
      </c>
      <c r="P336" s="47">
        <f t="shared" ca="1" si="90"/>
        <v>76.565706744868038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IFERROR(__xludf.DUMMYFUNCTION("IMPORTRANGE(""https://docs.google.com/spreadsheets/d/1-uDff_7J0KD5mKrp0Vvzr7lt3OU09vwQwhkpOPPYv2Y/edit?usp=sharing"",""งบพรบ!ES79"")"),165500)</f>
        <v>165500</v>
      </c>
      <c r="M338" s="47">
        <f ca="1">IFERROR(__xludf.DUMMYFUNCTION("IMPORTRANGE(""https://docs.google.com/spreadsheets/d/1-uDff_7J0KD5mKrp0Vvzr7lt3OU09vwQwhkpOPPYv2Y/edit?usp=sharing"",""งบพรบ!EX79"")"),170500)</f>
        <v>170500</v>
      </c>
      <c r="N338" s="47">
        <f ca="1">IFERROR(__xludf.DUMMYFUNCTION("IMPORTRANGE(""https://docs.google.com/spreadsheets/d/1-uDff_7J0KD5mKrp0Vvzr7lt3OU09vwQwhkpOPPYv2Y/edit?usp=sharing"",""งบพรบ!EZ79"")"),130544.53)</f>
        <v>130544.53</v>
      </c>
      <c r="O338" s="47">
        <f t="shared" ca="1" si="89"/>
        <v>78.878870090634436</v>
      </c>
      <c r="P338" s="47">
        <f t="shared" ca="1" si="90"/>
        <v>76.565706744868038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323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IFERROR(__xludf.DUMMYFUNCTION("IMPORTRANGE(""https://docs.google.com/spreadsheets/d/1awYsYK3VOup2i3Pq_Yjnu8DRu_mYwSBnCR2QPthd0rU/edit?usp=sharing"",""ศูนย์ยกเว้นโฉนด!D79"")"),213)</f>
        <v>213</v>
      </c>
      <c r="K344" s="47">
        <f ca="1">IF(I344&gt;0,J344*100/I344,0)</f>
        <v>106.5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IFERROR(__xludf.DUMMYFUNCTION("IMPORTRANGE(""https://docs.google.com/spreadsheets/d/1awYsYK3VOup2i3Pq_Yjnu8DRu_mYwSBnCR2QPthd0rU/edit?usp=sharing"",""ศูนย์รวม!E79"")"),1)</f>
        <v>1</v>
      </c>
      <c r="K346" s="47">
        <f ca="1">IF(I346&gt;0,J346*100/I346,0)</f>
        <v>100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IFERROR(__xludf.DUMMYFUNCTION("IMPORTRANGE(""https://docs.google.com/spreadsheets/d/1awYsYK3VOup2i3Pq_Yjnu8DRu_mYwSBnCR2QPthd0rU/edit?usp=sharing"",""ศูนย์ยกเว้นโฉนด!G79"")"),4)</f>
        <v>4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212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IFERROR(__xludf.DUMMYFUNCTION("IMPORTRANGE(""https://docs.google.com/spreadsheets/d/1awYsYK3VOup2i3Pq_Yjnu8DRu_mYwSBnCR2QPthd0rU/edit?usp=sharing"",""โฉนดM3!H79"")"),109)</f>
        <v>109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159"/>
      <c r="B354" s="41"/>
      <c r="C354" s="159"/>
      <c r="D354" s="317"/>
      <c r="E354" s="149" t="s">
        <v>316</v>
      </c>
      <c r="F354" s="41"/>
      <c r="G354" s="43"/>
      <c r="H354" s="133" t="s">
        <v>35</v>
      </c>
      <c r="I354" s="45"/>
      <c r="J354" s="744">
        <f ca="1">IFERROR(__xludf.DUMMYFUNCTION("IMPORTRANGE(""https://docs.google.com/spreadsheets/d/1awYsYK3VOup2i3Pq_Yjnu8DRu_mYwSBnCR2QPthd0rU/edit?usp=sharing"",""โฉนดM3!I79"")"),103)</f>
        <v>103</v>
      </c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278755</v>
      </c>
      <c r="M356" s="132">
        <f ca="1">M357+M358</f>
        <v>278755</v>
      </c>
      <c r="N356" s="132">
        <f ca="1">N357+N358</f>
        <v>216815</v>
      </c>
      <c r="O356" s="132">
        <f t="shared" ref="O356:O364" ca="1" si="95">IF(L356&gt;0,N356*100/L356,0)</f>
        <v>77.779770766443647</v>
      </c>
      <c r="P356" s="132">
        <f t="shared" ref="P356:P364" ca="1" si="96">IF(M356&gt;0,N356*100/M356,0)</f>
        <v>77.779770766443647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278755</v>
      </c>
      <c r="M358" s="47">
        <f t="shared" ca="1" si="99"/>
        <v>278755</v>
      </c>
      <c r="N358" s="47">
        <f t="shared" ca="1" si="99"/>
        <v>216815</v>
      </c>
      <c r="O358" s="47">
        <f t="shared" ca="1" si="95"/>
        <v>77.779770766443647</v>
      </c>
      <c r="P358" s="47">
        <f t="shared" ca="1" si="96"/>
        <v>77.779770766443647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278755</v>
      </c>
      <c r="M359" s="47">
        <f ca="1">M360+M361</f>
        <v>278755</v>
      </c>
      <c r="N359" s="47">
        <f ca="1">N360+N361</f>
        <v>216815</v>
      </c>
      <c r="O359" s="47">
        <f t="shared" ca="1" si="95"/>
        <v>77.779770766443647</v>
      </c>
      <c r="P359" s="47">
        <f t="shared" ca="1" si="96"/>
        <v>77.779770766443647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IFERROR(__xludf.DUMMYFUNCTION("IMPORTRANGE(""https://docs.google.com/spreadsheets/d/1-uDff_7J0KD5mKrp0Vvzr7lt3OU09vwQwhkpOPPYv2Y/edit?usp=sharing"",""งบพรบ!FC79"")"),278755)</f>
        <v>278755</v>
      </c>
      <c r="M361" s="47">
        <f ca="1">IFERROR(__xludf.DUMMYFUNCTION("IMPORTRANGE(""https://docs.google.com/spreadsheets/d/1-uDff_7J0KD5mKrp0Vvzr7lt3OU09vwQwhkpOPPYv2Y/edit?usp=sharing"",""งบพรบ!FH79"")"),278755)</f>
        <v>278755</v>
      </c>
      <c r="N361" s="47">
        <f ca="1">IFERROR(__xludf.DUMMYFUNCTION("IMPORTRANGE(""https://docs.google.com/spreadsheets/d/1-uDff_7J0KD5mKrp0Vvzr7lt3OU09vwQwhkpOPPYv2Y/edit?usp=sharing"",""งบพรบ!FJ79"")"),216815)</f>
        <v>216815</v>
      </c>
      <c r="O361" s="47">
        <f t="shared" ca="1" si="95"/>
        <v>77.779770766443647</v>
      </c>
      <c r="P361" s="47">
        <f t="shared" ca="1" si="96"/>
        <v>77.779770766443647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31</v>
      </c>
      <c r="J365" s="228">
        <f ca="1">J371</f>
        <v>17</v>
      </c>
      <c r="K365" s="229">
        <f ca="1">IF(I365&gt;0,J365*100/I365,0)</f>
        <v>54.838709677419352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IFERROR(__xludf.DUMMYFUNCTION("IMPORTRANGE(""https://docs.google.com/spreadsheets/d/1tdoBKaGub7dwA3U6UFTqxio9LNnvDCQjHKmttSEBsFQ/edit?usp=sharing"",""จัดที่ดิน!AB79"")"),13)</f>
        <v>13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584">
        <f ca="1">IFERROR(__xludf.DUMMYFUNCTION("IMPORTRANGE(""https://docs.google.com/spreadsheets/d/1tdoBKaGub7dwA3U6UFTqxio9LNnvDCQjHKmttSEBsFQ/edit?usp=sharing"",""จัดที่ดิน!AC79"")"),67.22)</f>
        <v>67.22</v>
      </c>
      <c r="K368" s="47">
        <f t="shared" ca="1" si="101"/>
        <v>96.028571428571425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IFERROR(__xludf.DUMMYFUNCTION("IMPORTRANGE(""https://docs.google.com/spreadsheets/d/1eHaY18a8A9IcSdp1K8H6x8fbOy06t2VsZHhMHf-1x7Y/edit?usp=sharing"",""แผน!EX79"")"),31)</f>
        <v>31</v>
      </c>
      <c r="J369" s="152">
        <f ca="1">IFERROR(__xludf.DUMMYFUNCTION("IMPORTRANGE(""https://docs.google.com/spreadsheets/d/1tdoBKaGub7dwA3U6UFTqxio9LNnvDCQjHKmttSEBsFQ/edit?usp=sharing"",""จัดที่ดิน!AD79"")"),29)</f>
        <v>29</v>
      </c>
      <c r="K369" s="47">
        <f t="shared" ca="1" si="101"/>
        <v>93.548387096774192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IFERROR(__xludf.DUMMYFUNCTION("IMPORTRANGE(""https://docs.google.com/spreadsheets/d/1tdoBKaGub7dwA3U6UFTqxio9LNnvDCQjHKmttSEBsFQ/edit?usp=sharing"",""จัดที่ดิน!AE79"")"),136.28)</f>
        <v>136.28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IFERROR(__xludf.DUMMYFUNCTION("IMPORTRANGE(""https://docs.google.com/spreadsheets/d/1eHaY18a8A9IcSdp1K8H6x8fbOy06t2VsZHhMHf-1x7Y/edit?usp=sharing"",""แผน!EY79"")"),31)</f>
        <v>31</v>
      </c>
      <c r="J371" s="152">
        <f ca="1">IFERROR(__xludf.DUMMYFUNCTION("IMPORTRANGE(""https://docs.google.com/spreadsheets/d/1tdoBKaGub7dwA3U6UFTqxio9LNnvDCQjHKmttSEBsFQ/edit?usp=sharing"",""จัดที่ดิน!AF79"")"),17)</f>
        <v>17</v>
      </c>
      <c r="K371" s="47">
        <f t="shared" ca="1" si="101"/>
        <v>54.838709677419352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IFERROR(__xludf.DUMMYFUNCTION("IMPORTRANGE(""https://docs.google.com/spreadsheets/d/1tdoBKaGub7dwA3U6UFTqxio9LNnvDCQjHKmttSEBsFQ/edit?usp=sharing"",""จัดที่ดิน!AG79"")"),96.08)</f>
        <v>96.08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1000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62500</v>
      </c>
      <c r="R377" s="47">
        <f t="shared" ca="1" si="107"/>
        <v>62500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IFERROR(__xludf.DUMMYFUNCTION("IMPORTRANGE(""https://docs.google.com/spreadsheets/d/1ItG2mGa2ceCfYo0BwxsXqNm01IGEUdYcSSLTEv9YCik/edit?usp=sharing"",""เบิกจ่ายกองทุน!AZ79"")"),62500)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IFERROR(__xludf.DUMMYFUNCTION("IMPORTRANGE(""https://docs.google.com/spreadsheets/d/1ItG2mGa2ceCfYo0BwxsXqNm01IGEUdYcSSLTEv9YCik/edit?usp=sharing"",""เบิกจ่ายกองทุน!BA79"")"),0)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IFERROR(__xludf.DUMMYFUNCTION("IMPORTRANGE(""https://docs.google.com/spreadsheets/d/1w5rwWK1o49a35cNtocGL0gxDwhFSTZUQu90BiH9_zqM/edit?usp=sharing"",""RTK!L79"")"),0)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IFERROR(__xludf.DUMMYFUNCTION("IMPORTRANGE(""https://docs.google.com/spreadsheets/d/1w5rwWK1o49a35cNtocGL0gxDwhFSTZUQu90BiH9_zqM/edit?usp=sharing"",""RTK!K79"")"),0)</f>
        <v>0</v>
      </c>
      <c r="J388" s="483">
        <f ca="1">IFERROR(__xludf.DUMMYFUNCTION("IMPORTRANGE(""https://docs.google.com/spreadsheets/d/1w5rwWK1o49a35cNtocGL0gxDwhFSTZUQu90BiH9_zqM/edit?usp=sharing"",""RTK!M79"")"),0)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IFERROR(__xludf.DUMMYFUNCTION("IMPORTRANGE(""https://docs.google.com/spreadsheets/d/1ItG2mGa2ceCfYo0BwxsXqNm01IGEUdYcSSLTEv9YCik/edit?usp=sharing"",""เบิกจ่ายกองทุน!BH79"")"),0)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IFERROR(__xludf.DUMMYFUNCTION("IMPORTRANGE(""https://docs.google.com/spreadsheets/d/1ItG2mGa2ceCfYo0BwxsXqNm01IGEUdYcSSLTEv9YCik/edit?usp=sharing"",""เบิกจ่ายกองทุน!BI79"")"),0)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IFERROR(__xludf.DUMMYFUNCTION("IMPORTRANGE(""https://docs.google.com/spreadsheets/d/1ItG2mGa2ceCfYo0BwxsXqNm01IGEUdYcSSLTEv9YCik/edit?usp=sharing"",""เบิกจ่ายกองทุน!BJ79"")"),0)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IFERROR(__xludf.DUMMYFUNCTION("IMPORTRANGE(""https://docs.google.com/spreadsheets/d/1eHaY18a8A9IcSdp1K8H6x8fbOy06t2VsZHhMHf-1x7Y/edit?usp=sharing"",""แผน!HN79"")"),0)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IFERROR(__xludf.DUMMYFUNCTION("IMPORTRANGE(""https://docs.google.com/spreadsheets/d/1eHaY18a8A9IcSdp1K8H6x8fbOy06t2VsZHhMHf-1x7Y/edit?usp=sharing"",""แผน!HO79"")"),0)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IFERROR(__xludf.DUMMYFUNCTION("IMPORTRANGE(""https://docs.google.com/spreadsheets/d/1ItG2mGa2ceCfYo0BwxsXqNm01IGEUdYcSSLTEv9YCik/edit?usp=sharing"",""เบิกจ่ายกองทุน!Y79"")"),0)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IFERROR(__xludf.DUMMYFUNCTION("IMPORTRANGE(""https://docs.google.com/spreadsheets/d/1ItG2mGa2ceCfYo0BwxsXqNm01IGEUdYcSSLTEv9YCik/edit?usp=sharing"",""เบิกจ่ายกองทุน!Z79"")"),0)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t="shared" ref="T616:T624" ca="1" si="159">IF(Q616&gt;0,S616*100/Q616,0)</f>
        <v>26.739926739926741</v>
      </c>
      <c r="U616" s="132">
        <f t="shared" ref="U616:U624" ca="1" si="160">IF(R616&gt;0,S616*100/R616,0)</f>
        <v>26.739926739926741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6825</v>
      </c>
      <c r="R618" s="47">
        <f t="shared" ca="1" si="162"/>
        <v>6825</v>
      </c>
      <c r="S618" s="47">
        <f t="shared" ca="1" si="162"/>
        <v>1825</v>
      </c>
      <c r="T618" s="47">
        <f t="shared" ca="1" si="159"/>
        <v>26.739926739926741</v>
      </c>
      <c r="U618" s="47">
        <f t="shared" ca="1" si="160"/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t="shared" ca="1" si="159"/>
        <v>26.739926739926741</v>
      </c>
      <c r="U619" s="47">
        <f t="shared" ca="1" si="160"/>
        <v>26.739926739926741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t="shared" ca="1" si="159"/>
        <v>26.739926739926741</v>
      </c>
      <c r="U621" s="47">
        <f t="shared" ca="1" si="160"/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hidden="1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hidden="1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0</v>
      </c>
      <c r="R692" s="47">
        <f t="shared" ca="1" si="174"/>
        <v>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hidden="1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IFERROR(__xludf.DUMMYFUNCTION("IMPORTRANGE(""https://docs.google.com/spreadsheets/d/1eHaY18a8A9IcSdp1K8H6x8fbOy06t2VsZHhMHf-1x7Y/edit?usp=sharing"",""แผน!GA79"")"),11)</f>
        <v>11</v>
      </c>
      <c r="J726" s="433">
        <f>J742+J746+J749</f>
        <v>10</v>
      </c>
      <c r="K726" s="434">
        <f ca="1">IF(I726&gt;0,J726*100/I726,0)</f>
        <v>90.909090909090907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IFERROR(__xludf.DUMMYFUNCTION("IMPORTRANGE(""https://docs.google.com/spreadsheets/d/1eHaY18a8A9IcSdp1K8H6x8fbOy06t2VsZHhMHf-1x7Y/edit?usp=sharing"",""แผน!FZ79"")"),100)</f>
        <v>100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28462</v>
      </c>
      <c r="T728" s="132">
        <f t="shared" ref="T728:T736" ca="1" si="184">IF(Q728&gt;0,S728*100/Q728,0)</f>
        <v>25.439302121878409</v>
      </c>
      <c r="U728" s="132">
        <f t="shared" ref="U728:U736" ca="1" si="185">IF(R728&gt;0,S728*100/R728,0)</f>
        <v>25.439302121878409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111882</v>
      </c>
      <c r="R730" s="47">
        <f t="shared" ca="1" si="187"/>
        <v>111882</v>
      </c>
      <c r="S730" s="47">
        <f t="shared" ca="1" si="187"/>
        <v>28462</v>
      </c>
      <c r="T730" s="47">
        <f t="shared" ca="1" si="184"/>
        <v>25.439302121878409</v>
      </c>
      <c r="U730" s="47">
        <f t="shared" ca="1" si="185"/>
        <v>25.439302121878409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28462</v>
      </c>
      <c r="T731" s="47">
        <f t="shared" ca="1" si="184"/>
        <v>25.439302121878409</v>
      </c>
      <c r="U731" s="47">
        <f t="shared" ca="1" si="185"/>
        <v>25.439302121878409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IFERROR(__xludf.DUMMYFUNCTION("IMPORTRANGE(""https://docs.google.com/spreadsheets/d/1ItG2mGa2ceCfYo0BwxsXqNm01IGEUdYcSSLTEv9YCik/edit?usp=sharing"",""เบิกจ่ายกองทุน!Q79"")"),28462)</f>
        <v>28462</v>
      </c>
      <c r="T733" s="47">
        <f t="shared" ca="1" si="184"/>
        <v>25.439302121878409</v>
      </c>
      <c r="U733" s="47">
        <f t="shared" ca="1" si="185"/>
        <v>25.439302121878409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2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46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22" t="s">
        <v>272</v>
      </c>
      <c r="G741" s="143"/>
      <c r="H741" s="133" t="s">
        <v>35</v>
      </c>
      <c r="I741" s="45"/>
      <c r="J741" s="167">
        <v>0</v>
      </c>
      <c r="K741" s="46"/>
      <c r="L741" s="465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22" t="s">
        <v>273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465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22" t="s">
        <v>274</v>
      </c>
      <c r="F743" s="139"/>
      <c r="G743" s="143"/>
      <c r="H743" s="191"/>
      <c r="I743" s="45"/>
      <c r="J743" s="45"/>
      <c r="K743" s="46"/>
      <c r="L743" s="465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22" t="s">
        <v>271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465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22" t="s">
        <v>275</v>
      </c>
      <c r="G745" s="143"/>
      <c r="H745" s="133" t="s">
        <v>35</v>
      </c>
      <c r="I745" s="45"/>
      <c r="J745" s="167">
        <v>0</v>
      </c>
      <c r="K745" s="46"/>
      <c r="L745" s="465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22" t="s">
        <v>276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465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22" t="s">
        <v>277</v>
      </c>
      <c r="F747" s="145"/>
      <c r="G747" s="143"/>
      <c r="H747" s="191"/>
      <c r="I747" s="45"/>
      <c r="J747" s="45"/>
      <c r="K747" s="46"/>
      <c r="L747" s="465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22" t="s">
        <v>278</v>
      </c>
      <c r="G748" s="143"/>
      <c r="H748" s="133" t="s">
        <v>35</v>
      </c>
      <c r="I748" s="45"/>
      <c r="J748" s="167">
        <v>0</v>
      </c>
      <c r="K748" s="46"/>
      <c r="L748" s="465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22" t="s">
        <v>279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0</v>
      </c>
      <c r="K749" s="47">
        <f ca="1">IF(I749&gt;0,J749*100/I749,0)</f>
        <v>0</v>
      </c>
      <c r="L749" s="465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445" t="s">
        <v>50</v>
      </c>
      <c r="E750" s="139"/>
      <c r="F750" s="145"/>
      <c r="G750" s="143"/>
      <c r="H750" s="191"/>
      <c r="I750" s="45"/>
      <c r="J750" s="45"/>
      <c r="K750" s="46"/>
      <c r="L750" s="465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22" t="s">
        <v>270</v>
      </c>
      <c r="F751" s="145"/>
      <c r="G751" s="143"/>
      <c r="H751" s="191"/>
      <c r="I751" s="45"/>
      <c r="J751" s="45"/>
      <c r="K751" s="46"/>
      <c r="L751" s="465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0</v>
      </c>
      <c r="K752" s="47">
        <f ca="1">IF(I752&gt;0,J752*100/I752,0)</f>
        <v>0</v>
      </c>
      <c r="L752" s="465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5"/>
      <c r="J753" s="167">
        <v>0</v>
      </c>
      <c r="K753" s="46"/>
      <c r="L753" s="465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22" t="s">
        <v>274</v>
      </c>
      <c r="F754" s="145"/>
      <c r="G754" s="143"/>
      <c r="H754" s="191"/>
      <c r="I754" s="45"/>
      <c r="J754" s="45"/>
      <c r="K754" s="46"/>
      <c r="L754" s="465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0</v>
      </c>
      <c r="K755" s="47">
        <f ca="1">IF(I755&gt;0,J755*100/I755,0)</f>
        <v>0</v>
      </c>
      <c r="L755" s="465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5"/>
      <c r="J756" s="167">
        <v>0</v>
      </c>
      <c r="K756" s="46"/>
      <c r="L756" s="465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hidden="1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hidden="1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t="shared" ref="T760:T768" ca="1" si="190">IF(Q760&gt;0,S760*100/Q760,0)</f>
        <v>0</v>
      </c>
      <c r="U760" s="132">
        <f t="shared" ref="U760:U768" ca="1" si="19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0</v>
      </c>
      <c r="R762" s="47">
        <f t="shared" ca="1" si="193"/>
        <v>0</v>
      </c>
      <c r="S762" s="47">
        <f t="shared" ca="1" si="193"/>
        <v>0</v>
      </c>
      <c r="T762" s="47">
        <f t="shared" ca="1" si="190"/>
        <v>0</v>
      </c>
      <c r="U762" s="47">
        <f t="shared" ca="1" si="191"/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t="shared" ca="1" si="190"/>
        <v>0</v>
      </c>
      <c r="U763" s="47">
        <f t="shared" ca="1" si="191"/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IFERROR(__xludf.DUMMYFUNCTION("IMPORTRANGE(""https://docs.google.com/spreadsheets/d/1ItG2mGa2ceCfYo0BwxsXqNm01IGEUdYcSSLTEv9YCik/edit?usp=sharing"",""เบิกจ่ายกองทุน!V79"")"),0)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IFERROR(__xludf.DUMMYFUNCTION("IMPORTRANGE(""https://docs.google.com/spreadsheets/d/1ItG2mGa2ceCfYo0BwxsXqNm01IGEUdYcSSLTEv9YCik/edit?usp=sharing"",""เบิกจ่ายกองทุน!W79"")"),0)</f>
        <v>0</v>
      </c>
      <c r="T765" s="47">
        <f t="shared" ca="1" si="190"/>
        <v>0</v>
      </c>
      <c r="U765" s="47">
        <f t="shared" ca="1" si="191"/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hidden="1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IFERROR(__xludf.DUMMYFUNCTION("IMPORTRANGE(""https://docs.google.com/spreadsheets/d/1eHaY18a8A9IcSdp1K8H6x8fbOy06t2VsZHhMHf-1x7Y/edit?usp=sharing"",""แผน!FI79"")"),0)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IFERROR(__xludf.DUMMYFUNCTION("IMPORTRANGE(""https://docs.google.com/spreadsheets/d/10OvvATaaLtwErnr3qtWFcTmtbfpFEt5Bsqel9sXx0uE/edit?usp=sharing"",""งานกองทุน!F79"")"),275126.62)</f>
        <v>275126.62</v>
      </c>
      <c r="K778" s="47">
        <f t="shared" ref="K778:K785" ca="1" si="194">IF(I778&gt;0,J778*100/I778,0)</f>
        <v>92.556244260789711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t="shared" ca="1" si="194"/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IFERROR(__xludf.DUMMYFUNCTION("IMPORTRANGE(""https://docs.google.com/spreadsheets/d/10OvvATaaLtwErnr3qtWFcTmtbfpFEt5Bsqel9sXx0uE/edit?usp=sharing"",""งานกองทุน!K79"")"),8691.33)</f>
        <v>8691.33</v>
      </c>
      <c r="K780" s="47">
        <f t="shared" ca="1" si="194"/>
        <v>4.1932224928825033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IFERROR(__xludf.DUMMYFUNCTION("IMPORTRANGE(""https://docs.google.com/spreadsheets/d/10OvvATaaLtwErnr3qtWFcTmtbfpFEt5Bsqel9sXx0uE/edit?usp=sharing"",""งานกองทุน!J79"")"),6)</f>
        <v>6</v>
      </c>
      <c r="K781" s="47">
        <f t="shared" ca="1" si="194"/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IFERROR(__xludf.DUMMYFUNCTION("IMPORTRANGE(""https://docs.google.com/spreadsheets/d/10OvvATaaLtwErnr3qtWFcTmtbfpFEt5Bsqel9sXx0uE/edit?usp=sharing"",""งานกองทุน!N79"")"),134852.56)</f>
        <v>134852.56</v>
      </c>
      <c r="J782" s="152">
        <f ca="1">IFERROR(__xludf.DUMMYFUNCTION("IMPORTRANGE(""https://docs.google.com/spreadsheets/d/10OvvATaaLtwErnr3qtWFcTmtbfpFEt5Bsqel9sXx0uE/edit?usp=sharing"",""งานกองทุน!P79"")"),22086.89)</f>
        <v>22086.89</v>
      </c>
      <c r="K782" s="47">
        <f t="shared" ca="1" si="194"/>
        <v>16.378547059099212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IFERROR(__xludf.DUMMYFUNCTION("IMPORTRANGE(""https://docs.google.com/spreadsheets/d/10OvvATaaLtwErnr3qtWFcTmtbfpFEt5Bsqel9sXx0uE/edit?usp=sharing"",""งานกองทุน!M79"")"),227)</f>
        <v>227</v>
      </c>
      <c r="J783" s="152">
        <f ca="1">IFERROR(__xludf.DUMMYFUNCTION("IMPORTRANGE(""https://docs.google.com/spreadsheets/d/10OvvATaaLtwErnr3qtWFcTmtbfpFEt5Bsqel9sXx0uE/edit?usp=sharing"",""งานกองทุน!O79"")"),42)</f>
        <v>42</v>
      </c>
      <c r="K783" s="47">
        <f t="shared" ca="1" si="194"/>
        <v>18.502202643171806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t="shared" ca="1" si="194"/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t="shared" ca="1" si="194"/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456E3-E5EB-4AA5-B314-805307733D5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619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318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1411717</v>
      </c>
      <c r="M18" s="35">
        <f ca="1">M19+M20</f>
        <v>1492441</v>
      </c>
      <c r="N18" s="35">
        <f ca="1">N19+N20</f>
        <v>1150344.33</v>
      </c>
      <c r="O18" s="35">
        <f t="shared" ref="O18:O26" ca="1" si="0">IF(L18&gt;0,N18*100/L18,0)</f>
        <v>81.485476905073753</v>
      </c>
      <c r="P18" s="35">
        <f t="shared" ref="P18:P26" ca="1" si="1">IF(M18&gt;0,N18*100/M18,0)</f>
        <v>77.078043956176487</v>
      </c>
      <c r="Q18" s="35">
        <f ca="1">Q19+Q20</f>
        <v>620867.99</v>
      </c>
      <c r="R18" s="35">
        <f ca="1">R19+R20</f>
        <v>622118</v>
      </c>
      <c r="S18" s="35">
        <f ca="1">S19+S20</f>
        <v>173520</v>
      </c>
      <c r="T18" s="35">
        <f t="shared" ref="T18:T26" ca="1" si="2">IF(Q18&gt;0,S18*100/Q18,0)</f>
        <v>27.947970066873637</v>
      </c>
      <c r="U18" s="35">
        <f t="shared" ref="U18:U26" ca="1" si="3">IF(R18&gt;0,S18*100/R18,0)</f>
        <v>27.891814736111154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1411717</v>
      </c>
      <c r="M20" s="39">
        <f t="shared" ca="1" si="4"/>
        <v>1492441</v>
      </c>
      <c r="N20" s="39">
        <f t="shared" ca="1" si="4"/>
        <v>1150344.33</v>
      </c>
      <c r="O20" s="39">
        <f t="shared" ca="1" si="0"/>
        <v>81.485476905073753</v>
      </c>
      <c r="P20" s="39">
        <f t="shared" ca="1" si="1"/>
        <v>77.078043956176487</v>
      </c>
      <c r="Q20" s="39">
        <f t="shared" ca="1" si="5"/>
        <v>620867.99</v>
      </c>
      <c r="R20" s="39">
        <f t="shared" ca="1" si="5"/>
        <v>622118</v>
      </c>
      <c r="S20" s="39">
        <f t="shared" ca="1" si="5"/>
        <v>173520</v>
      </c>
      <c r="T20" s="39">
        <f t="shared" ca="1" si="2"/>
        <v>27.947970066873637</v>
      </c>
      <c r="U20" s="39">
        <f t="shared" ca="1" si="3"/>
        <v>27.891814736111154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1411717</v>
      </c>
      <c r="M21" s="47">
        <f ca="1">M22+M23</f>
        <v>1492441</v>
      </c>
      <c r="N21" s="47">
        <f ca="1">N22+N23</f>
        <v>1150344.33</v>
      </c>
      <c r="O21" s="47">
        <f t="shared" ca="1" si="0"/>
        <v>81.485476905073753</v>
      </c>
      <c r="P21" s="47">
        <f t="shared" ca="1" si="1"/>
        <v>77.078043956176487</v>
      </c>
      <c r="Q21" s="47">
        <f ca="1">Q22+Q23</f>
        <v>620867.99</v>
      </c>
      <c r="R21" s="47">
        <f ca="1">R22+R23</f>
        <v>622118</v>
      </c>
      <c r="S21" s="47">
        <f ca="1">S22+S23</f>
        <v>173520</v>
      </c>
      <c r="T21" s="47">
        <f t="shared" ca="1" si="2"/>
        <v>27.947970066873637</v>
      </c>
      <c r="U21" s="47">
        <f t="shared" ca="1" si="3"/>
        <v>27.891814736111154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1411717</v>
      </c>
      <c r="M23" s="47">
        <f t="shared" ca="1" si="6"/>
        <v>1492441</v>
      </c>
      <c r="N23" s="47">
        <f t="shared" ca="1" si="6"/>
        <v>1150344.33</v>
      </c>
      <c r="O23" s="47">
        <f t="shared" ca="1" si="0"/>
        <v>81.485476905073753</v>
      </c>
      <c r="P23" s="47">
        <f t="shared" ca="1" si="1"/>
        <v>77.078043956176487</v>
      </c>
      <c r="Q23" s="47">
        <f t="shared" ca="1" si="7"/>
        <v>620867.99</v>
      </c>
      <c r="R23" s="47">
        <f t="shared" ca="1" si="7"/>
        <v>622118</v>
      </c>
      <c r="S23" s="47">
        <f t="shared" ca="1" si="7"/>
        <v>173520</v>
      </c>
      <c r="T23" s="47">
        <f t="shared" ca="1" si="2"/>
        <v>27.947970066873637</v>
      </c>
      <c r="U23" s="47">
        <f t="shared" ca="1" si="3"/>
        <v>27.891814736111154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1411717</v>
      </c>
      <c r="M40" s="703">
        <f ca="1">M44+M59+M72+M94+M125+M139+M157+M173+M186+M266+M282+M303+M320+M333+M356</f>
        <v>1492441</v>
      </c>
      <c r="N40" s="703">
        <f ca="1">N44+N59+N72+N94+N125+N139+N157+N173+N186+N266+N282+N303+N320+N333+N356</f>
        <v>1150344.33</v>
      </c>
      <c r="O40" s="703">
        <f ca="1">IF(L40&gt;0,N40*100/L40,0)</f>
        <v>81.485476905073753</v>
      </c>
      <c r="P40" s="703">
        <f ca="1">IF(M40&gt;0,N40*100/M40,0)</f>
        <v>77.078043956176487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262457</v>
      </c>
      <c r="M44" s="79">
        <f ca="1">M45+M46</f>
        <v>311941</v>
      </c>
      <c r="N44" s="79">
        <f ca="1">N45+N46</f>
        <v>219845.23</v>
      </c>
      <c r="O44" s="79">
        <f t="shared" ref="O44:O52" ca="1" si="10">IF(L44&gt;0,N44*100/L44,0)</f>
        <v>83.764285197194212</v>
      </c>
      <c r="P44" s="79">
        <f t="shared" ref="P44:P52" ca="1" si="11">IF(M44&gt;0,N44*100/M44,0)</f>
        <v>70.476542038398293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262457</v>
      </c>
      <c r="M46" s="83">
        <f t="shared" ca="1" si="14"/>
        <v>311941</v>
      </c>
      <c r="N46" s="83">
        <f t="shared" ca="1" si="14"/>
        <v>219845.23</v>
      </c>
      <c r="O46" s="83">
        <f t="shared" ca="1" si="10"/>
        <v>83.764285197194212</v>
      </c>
      <c r="P46" s="83">
        <f t="shared" ca="1" si="11"/>
        <v>70.476542038398293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262457</v>
      </c>
      <c r="M47" s="47">
        <f ca="1">M48+M49</f>
        <v>311941</v>
      </c>
      <c r="N47" s="47">
        <f ca="1">N48+N49</f>
        <v>219845.23</v>
      </c>
      <c r="O47" s="47">
        <f t="shared" ca="1" si="10"/>
        <v>83.764285197194212</v>
      </c>
      <c r="P47" s="47">
        <f t="shared" ca="1" si="11"/>
        <v>70.476542038398293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IFERROR(__xludf.DUMMYFUNCTION("IMPORTRANGE(""https://docs.google.com/spreadsheets/d/1-uDff_7J0KD5mKrp0Vvzr7lt3OU09vwQwhkpOPPYv2Y/edit?usp=sharing"",""งบพรบ!P80"")"),262457)</f>
        <v>262457</v>
      </c>
      <c r="M49" s="47">
        <f ca="1">IFERROR(__xludf.DUMMYFUNCTION("IMPORTRANGE(""https://docs.google.com/spreadsheets/d/1-uDff_7J0KD5mKrp0Vvzr7lt3OU09vwQwhkpOPPYv2Y/edit?usp=sharing"",""งบพรบ!V80"")"),311941)</f>
        <v>311941</v>
      </c>
      <c r="N49" s="47">
        <f ca="1">IFERROR(__xludf.DUMMYFUNCTION("IMPORTRANGE(""https://docs.google.com/spreadsheets/d/1-uDff_7J0KD5mKrp0Vvzr7lt3OU09vwQwhkpOPPYv2Y/edit?usp=sharing"",""งบพรบ!Y80"")"),219845.23)</f>
        <v>219845.23</v>
      </c>
      <c r="O49" s="47">
        <f t="shared" ca="1" si="10"/>
        <v>83.764285197194212</v>
      </c>
      <c r="P49" s="47">
        <f t="shared" ca="1" si="11"/>
        <v>70.476542038398293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390000</v>
      </c>
      <c r="M59" s="106">
        <f ca="1">M60+M61</f>
        <v>390000</v>
      </c>
      <c r="N59" s="106">
        <f ca="1">N60+N61</f>
        <v>277914.88</v>
      </c>
      <c r="O59" s="106">
        <f t="shared" ref="O59:O67" ca="1" si="16">IF(L59&gt;0,N59*100/L59,0)</f>
        <v>71.260225641025642</v>
      </c>
      <c r="P59" s="106">
        <f t="shared" ref="P59:P67" ca="1" si="17">IF(M59&gt;0,N59*100/M59,0)</f>
        <v>71.260225641025642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390000</v>
      </c>
      <c r="M61" s="109">
        <f t="shared" ca="1" si="20"/>
        <v>390000</v>
      </c>
      <c r="N61" s="109">
        <f t="shared" ca="1" si="20"/>
        <v>277914.88</v>
      </c>
      <c r="O61" s="109">
        <f t="shared" ca="1" si="16"/>
        <v>71.260225641025642</v>
      </c>
      <c r="P61" s="109">
        <f t="shared" ca="1" si="17"/>
        <v>71.260225641025642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390000</v>
      </c>
      <c r="M62" s="47">
        <f ca="1">M63+M64</f>
        <v>390000</v>
      </c>
      <c r="N62" s="47">
        <f ca="1">N63+N64</f>
        <v>277914.88</v>
      </c>
      <c r="O62" s="47">
        <f t="shared" ca="1" si="16"/>
        <v>71.260225641025642</v>
      </c>
      <c r="P62" s="47">
        <f t="shared" ca="1" si="17"/>
        <v>71.260225641025642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IFERROR(__xludf.DUMMYFUNCTION("IMPORTRANGE(""https://docs.google.com/spreadsheets/d/1-uDff_7J0KD5mKrp0Vvzr7lt3OU09vwQwhkpOPPYv2Y/edit?usp=sharing"",""งบพรบ!AC80"")"),390000)</f>
        <v>390000</v>
      </c>
      <c r="M64" s="47">
        <f ca="1">IFERROR(__xludf.DUMMYFUNCTION("IMPORTRANGE(""https://docs.google.com/spreadsheets/d/1-uDff_7J0KD5mKrp0Vvzr7lt3OU09vwQwhkpOPPYv2Y/edit?usp=sharing"",""งบพรบ!AH80"")"),390000)</f>
        <v>390000</v>
      </c>
      <c r="N64" s="47">
        <f ca="1">IFERROR(__xludf.DUMMYFUNCTION("IMPORTRANGE(""https://docs.google.com/spreadsheets/d/1-uDff_7J0KD5mKrp0Vvzr7lt3OU09vwQwhkpOPPYv2Y/edit?usp=sharing"",""งบพรบ!AJ80"")"),277914.88)</f>
        <v>277914.88</v>
      </c>
      <c r="O64" s="47">
        <f t="shared" ca="1" si="16"/>
        <v>71.260225641025642</v>
      </c>
      <c r="P64" s="47">
        <f t="shared" ca="1" si="17"/>
        <v>71.260225641025642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IFERROR(__xludf.DUMMYFUNCTION("IMPORTRANGE(""https://docs.google.com/spreadsheets/d/1-uDff_7J0KD5mKrp0Vvzr7lt3OU09vwQwhkpOPPYv2Y/edit?usp=sharing"",""งบพรบ!AF80"")"),0)</f>
        <v>0</v>
      </c>
      <c r="M67" s="111">
        <f ca="1">IFERROR(__xludf.DUMMYFUNCTION("IMPORTRANGE(""https://docs.google.com/spreadsheets/d/1-uDff_7J0KD5mKrp0Vvzr7lt3OU09vwQwhkpOPPYv2Y/edit?usp=sharing"",""งบพรบ!AI80"")"),0)</f>
        <v>0</v>
      </c>
      <c r="N67" s="111">
        <f ca="1">IFERROR(__xludf.DUMMYFUNCTION("IMPORTRANGE(""https://docs.google.com/spreadsheets/d/1-uDff_7J0KD5mKrp0Vvzr7lt3OU09vwQwhkpOPPYv2Y/edit?usp=sharing"",""งบพรบ!AK80"")"),0)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IFERROR(__xludf.DUMMYFUNCTION("IMPORTRANGE(""https://docs.google.com/spreadsheets/d/1ItG2mGa2ceCfYo0BwxsXqNm01IGEUdYcSSLTEv9YCik/edit?usp=sharing"",""เบิกจ่ายกองทุน!AS80"")"),0)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IFERROR(__xludf.DUMMYFUNCTION("IMPORTRANGE(""https://docs.google.com/spreadsheets/d/1ItG2mGa2ceCfYo0BwxsXqNm01IGEUdYcSSLTEv9YCik/edit?usp=sharing"",""เบิกจ่ายกองทุน!AT80"")"),0)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IFERROR(__xludf.DUMMYFUNCTION("IMPORTRANGE(""https://docs.google.com/spreadsheets/d/1ItG2mGa2ceCfYo0BwxsXqNm01IGEUdYcSSLTEv9YCik/edit?usp=sharing"",""เบิกจ่ายกองทุน!AU80"")"),0)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0</v>
      </c>
      <c r="R96" s="47">
        <f t="shared" ca="1" si="34"/>
        <v>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IFERROR(__xludf.DUMMYFUNCTION("IMPORTRANGE(""https://docs.google.com/spreadsheets/d/1ItG2mGa2ceCfYo0BwxsXqNm01IGEUdYcSSLTEv9YCik/edit?usp=sharing"",""เบิกจ่ายกองทุน!AE80"")"),0)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IFERROR(__xludf.DUMMYFUNCTION("IMPORTRANGE(""https://docs.google.com/spreadsheets/d/1ItG2mGa2ceCfYo0BwxsXqNm01IGEUdYcSSLTEv9YCik/edit?usp=sharing"",""เบิกจ่ายกองทุน!AF80"")"),0)</f>
        <v>0</v>
      </c>
      <c r="T99" s="47">
        <f t="shared" ca="1" si="31"/>
        <v>0</v>
      </c>
      <c r="U99" s="47">
        <f t="shared" ca="1" si="32"/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hidden="1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99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465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78650</v>
      </c>
      <c r="T117" s="132">
        <f t="shared" ref="T117:T125" ca="1" si="37">IF(Q117&gt;0,S117*100/Q117,0)</f>
        <v>45.289646435563746</v>
      </c>
      <c r="U117" s="132">
        <f t="shared" ref="U117:U125" ca="1" si="38">IF(R117&gt;0,S117*100/R117,0)</f>
        <v>45.289646435563746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173660</v>
      </c>
      <c r="R119" s="47">
        <f t="shared" ca="1" si="40"/>
        <v>173660</v>
      </c>
      <c r="S119" s="47">
        <f t="shared" ca="1" si="40"/>
        <v>78650</v>
      </c>
      <c r="T119" s="47">
        <f t="shared" ca="1" si="37"/>
        <v>45.289646435563746</v>
      </c>
      <c r="U119" s="47">
        <f t="shared" ca="1" si="38"/>
        <v>45.289646435563746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78650</v>
      </c>
      <c r="T120" s="47">
        <f t="shared" ca="1" si="37"/>
        <v>45.289646435563746</v>
      </c>
      <c r="U120" s="47">
        <f t="shared" ca="1" si="38"/>
        <v>45.289646435563746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IFERROR(__xludf.DUMMYFUNCTION("IMPORTRANGE(""https://docs.google.com/spreadsheets/d/1ItG2mGa2ceCfYo0BwxsXqNm01IGEUdYcSSLTEv9YCik/edit?usp=sharing"",""เบิกจ่ายกองทุน!S80"")"),173660)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IFERROR(__xludf.DUMMYFUNCTION("IMPORTRANGE(""https://docs.google.com/spreadsheets/d/1ItG2mGa2ceCfYo0BwxsXqNm01IGEUdYcSSLTEv9YCik/edit?usp=sharing"",""เบิกจ่ายกองทุน!T80"")"),78650)</f>
        <v>78650</v>
      </c>
      <c r="T122" s="47">
        <f t="shared" ca="1" si="37"/>
        <v>45.289646435563746</v>
      </c>
      <c r="U122" s="47">
        <f t="shared" ca="1" si="38"/>
        <v>45.289646435563746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IFERROR(__xludf.DUMMYFUNCTION("IMPORTRANGE(""https://docs.google.com/spreadsheets/d/1-uDff_7J0KD5mKrp0Vvzr7lt3OU09vwQwhkpOPPYv2Y/edit?usp=sharing"",""งบพรบ!BJ80"")"),0)</f>
        <v>0</v>
      </c>
      <c r="M125" s="47">
        <f ca="1">IFERROR(__xludf.DUMMYFUNCTION("IMPORTRANGE(""https://docs.google.com/spreadsheets/d/1-uDff_7J0KD5mKrp0Vvzr7lt3OU09vwQwhkpOPPYv2Y/edit?usp=sharing"",""งบพรบ!BM80"")"),0)</f>
        <v>0</v>
      </c>
      <c r="N125" s="47">
        <f ca="1">IFERROR(__xludf.DUMMYFUNCTION("IMPORTRANGE(""https://docs.google.com/spreadsheets/d/1-uDff_7J0KD5mKrp0Vvzr7lt3OU09vwQwhkpOPPYv2Y/edit?usp=sharing"",""งบพรบ!BO80"")"),0)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IFERROR(__xludf.DUMMYFUNCTION("IMPORTRANGE(""https://docs.google.com/spreadsheets/d/1ItG2mGa2ceCfYo0BwxsXqNm01IGEUdYcSSLTEv9YCik/edit?usp=sharing"",""เบิกจ่ายกองทุน!BD80"")"),0)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IFERROR(__xludf.DUMMYFUNCTION("IMPORTRANGE(""https://docs.google.com/spreadsheets/d/1ItG2mGa2ceCfYo0BwxsXqNm01IGEUdYcSSLTEv9YCik/edit?usp=sharing"",""เบิกจ่ายกองทุน!AI80"")"),0)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IFERROR(__xludf.DUMMYFUNCTION("IMPORTRANGE(""https://docs.google.com/spreadsheets/d/1eHaY18a8A9IcSdp1K8H6x8fbOy06t2VsZHhMHf-1x7Y/edit?usp=sharing"",""แผน!Z80"")"),0)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IFERROR(__xludf.DUMMYFUNCTION("IMPORTRANGE(""https://docs.google.com/spreadsheets/d/1eHaY18a8A9IcSdp1K8H6x8fbOy06t2VsZHhMHf-1x7Y/edit?usp=sharing"",""แผน!Z80"")"),0)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t="shared" ref="O173:O181" ca="1" si="53">IF(L173&gt;0,N173*100/L173,0)</f>
        <v>187.08524757529352</v>
      </c>
      <c r="P173" s="132">
        <f t="shared" ref="P173:P181" ca="1" si="54">IF(M173&gt;0,N173*100/M173,0)</f>
        <v>89.762429586088658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40830</v>
      </c>
      <c r="N175" s="47">
        <f t="shared" ca="1" si="57"/>
        <v>36650</v>
      </c>
      <c r="O175" s="47">
        <f t="shared" ca="1" si="53"/>
        <v>187.08524757529352</v>
      </c>
      <c r="P175" s="47">
        <f t="shared" ca="1" si="54"/>
        <v>89.762429586088658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t="shared" ca="1" si="53"/>
        <v>187.08524757529352</v>
      </c>
      <c r="P176" s="47">
        <f t="shared" ca="1" si="54"/>
        <v>89.762429586088658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t="shared" ca="1" si="53"/>
        <v>187.08524757529352</v>
      </c>
      <c r="P178" s="47">
        <f t="shared" ca="1" si="54"/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IFERROR(__xludf.DUMMYFUNCTION("IMPORTRANGE(""https://docs.google.com/spreadsheets/d/1ItG2mGa2ceCfYo0BwxsXqNm01IGEUdYcSSLTEv9YCik/edit?usp=sharing"",""เบิกจ่ายกองทุน!BE80"")"),0)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IFERROR(__xludf.DUMMYFUNCTION("IMPORTRANGE(""https://docs.google.com/spreadsheets/d/1ItG2mGa2ceCfYo0BwxsXqNm01IGEUdYcSSLTEv9YCik/edit?usp=sharing"",""เบิกจ่ายกองทุน!BF80"")"),0)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IFERROR(__xludf.DUMMYFUNCTION("IMPORTRANGE(""https://docs.google.com/spreadsheets/d/1ItG2mGa2ceCfYo0BwxsXqNm01IGEUdYcSSLTEv9YCik/edit?usp=sharing"",""เบิกจ่ายกองทุน!BG80"")"),0)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105500</v>
      </c>
      <c r="M186" s="132">
        <f ca="1">M187+M188</f>
        <v>105500</v>
      </c>
      <c r="N186" s="132">
        <f ca="1">N187+N188</f>
        <v>80214</v>
      </c>
      <c r="O186" s="132">
        <f t="shared" ref="O186:O194" ca="1" si="59">IF(L186&gt;0,N186*100/L186,0)</f>
        <v>76.032227488151662</v>
      </c>
      <c r="P186" s="132">
        <f t="shared" ref="P186:P194" ca="1" si="60">IF(M186&gt;0,N186*100/M186,0)</f>
        <v>76.032227488151662</v>
      </c>
      <c r="Q186" s="132">
        <f ca="1">Q187+Q188</f>
        <v>0</v>
      </c>
      <c r="R186" s="132">
        <f ca="1">R187+R188</f>
        <v>20000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105500</v>
      </c>
      <c r="M188" s="47">
        <f t="shared" ca="1" si="63"/>
        <v>105500</v>
      </c>
      <c r="N188" s="47">
        <f t="shared" ca="1" si="63"/>
        <v>80214</v>
      </c>
      <c r="O188" s="47">
        <f t="shared" ca="1" si="59"/>
        <v>76.032227488151662</v>
      </c>
      <c r="P188" s="47">
        <f t="shared" ca="1" si="60"/>
        <v>76.032227488151662</v>
      </c>
      <c r="Q188" s="47">
        <f t="shared" ca="1" si="64"/>
        <v>0</v>
      </c>
      <c r="R188" s="47">
        <f t="shared" ca="1" si="64"/>
        <v>20000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105500</v>
      </c>
      <c r="M189" s="47">
        <f ca="1">M190+M191</f>
        <v>105500</v>
      </c>
      <c r="N189" s="47">
        <f ca="1">N190+N191</f>
        <v>80214</v>
      </c>
      <c r="O189" s="47">
        <f t="shared" ca="1" si="59"/>
        <v>76.032227488151662</v>
      </c>
      <c r="P189" s="47">
        <f t="shared" ca="1" si="60"/>
        <v>76.032227488151662</v>
      </c>
      <c r="Q189" s="47">
        <f ca="1">Q190+Q191</f>
        <v>0</v>
      </c>
      <c r="R189" s="47">
        <f ca="1">R190+R191</f>
        <v>20000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IFERROR(__xludf.DUMMYFUNCTION("IMPORTRANGE(""https://docs.google.com/spreadsheets/d/1-uDff_7J0KD5mKrp0Vvzr7lt3OU09vwQwhkpOPPYv2Y/edit?usp=sharing"",""งบพรบ!CZ80"")"),105500)</f>
        <v>105500</v>
      </c>
      <c r="N191" s="47">
        <f ca="1">IFERROR(__xludf.DUMMYFUNCTION("IMPORTRANGE(""https://docs.google.com/spreadsheets/d/1-uDff_7J0KD5mKrp0Vvzr7lt3OU09vwQwhkpOPPYv2Y/edit?usp=sharing"",""งบพรบ!DB80"")"),80214)</f>
        <v>80214</v>
      </c>
      <c r="O191" s="47">
        <f t="shared" ca="1" si="59"/>
        <v>76.032227488151662</v>
      </c>
      <c r="P191" s="47">
        <f t="shared" ca="1" si="60"/>
        <v>76.032227488151662</v>
      </c>
      <c r="Q191" s="47">
        <f ca="1">IFERROR(__xludf.DUMMYFUNCTION("IMPORTRANGE(""https://docs.google.com/spreadsheets/d/1ItG2mGa2ceCfYo0BwxsXqNm01IGEUdYcSSLTEv9YCik/edit?usp=sharing"",""เบิกจ่ายกองทุน!AV80"")"),0)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IFERROR(__xludf.DUMMYFUNCTION("IMPORTRANGE(""https://docs.google.com/spreadsheets/d/1ItG2mGa2ceCfYo0BwxsXqNm01IGEUdYcSSLTEv9YCik/edit?usp=sharing"",""เบิกจ่ายกองทุน!AW80"")"),20000)</f>
        <v>20000</v>
      </c>
      <c r="S191" s="47">
        <f ca="1">IFERROR(__xludf.DUMMYFUNCTION("IMPORTRANGE(""https://docs.google.com/spreadsheets/d/1ItG2mGa2ceCfYo0BwxsXqNm01IGEUdYcSSLTEv9YCik/edit?usp=sharing"",""เบิกจ่ายกองทุน!AX80"")"),0)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672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2</v>
      </c>
      <c r="K198" s="47">
        <f ca="1">IF(I198&gt;0,J198*100/I198,0)</f>
        <v>50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13000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IFERROR(__xludf.DUMMYFUNCTION("IMPORTRANGE(""https://docs.google.com/spreadsheets/d/1eHaY18a8A9IcSdp1K8H6x8fbOy06t2VsZHhMHf-1x7Y/edit?usp=sharing"",""แผน!AH80"")"),0)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IFERROR(__xludf.DUMMYFUNCTION("IMPORTRANGE(""https://docs.google.com/spreadsheets/d/1eHaY18a8A9IcSdp1K8H6x8fbOy06t2VsZHhMHf-1x7Y/edit?usp=sharing"",""แผน!LV80"")"),0)</f>
        <v>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IFERROR(__xludf.DUMMYFUNCTION("IMPORTRANGE(""https://docs.google.com/spreadsheets/d/1eHaY18a8A9IcSdp1K8H6x8fbOy06t2VsZHhMHf-1x7Y/edit?usp=sharing"",""แผน!AM80"")"),0)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IFERROR(__xludf.DUMMYFUNCTION("IMPORTRANGE(""https://docs.google.com/spreadsheets/d/1eHaY18a8A9IcSdp1K8H6x8fbOy06t2VsZHhMHf-1x7Y/edit?usp=sharing"",""แผน!AN80"")"),0)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IFERROR(__xludf.DUMMYFUNCTION("IMPORTRANGE(""https://docs.google.com/spreadsheets/d/1eHaY18a8A9IcSdp1K8H6x8fbOy06t2VsZHhMHf-1x7Y/edit?usp=sharing"",""แผน!AO80"")"),0)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IFERROR(__xludf.DUMMYFUNCTION("IMPORTRANGE(""https://docs.google.com/spreadsheets/d/1eHaY18a8A9IcSdp1K8H6x8fbOy06t2VsZHhMHf-1x7Y/edit?usp=sharing"",""แผน!LY80"")"),0)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IFERROR(__xludf.DUMMYFUNCTION("IMPORTRANGE(""https://docs.google.com/spreadsheets/d/1eHaY18a8A9IcSdp1K8H6x8fbOy06t2VsZHhMHf-1x7Y/edit?usp=sharing"",""แผน!AR80"")"),2500)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IFERROR(__xludf.DUMMYFUNCTION("IMPORTRANGE(""https://docs.google.com/spreadsheets/d/1eHaY18a8A9IcSdp1K8H6x8fbOy06t2VsZHhMHf-1x7Y/edit?usp=sharing"",""แผน!AS80"")"),2000)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IFERROR(__xludf.DUMMYFUNCTION("IMPORTRANGE(""https://docs.google.com/spreadsheets/d/1eHaY18a8A9IcSdp1K8H6x8fbOy06t2VsZHhMHf-1x7Y/edit?usp=sharing"",""แผน!AT80"")"),0)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IFERROR(__xludf.DUMMYFUNCTION("IMPORTRANGE(""https://docs.google.com/spreadsheets/d/1eHaY18a8A9IcSdp1K8H6x8fbOy06t2VsZHhMHf-1x7Y/edit?usp=sharing"",""แผน!AX80"")"),0)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IFERROR(__xludf.DUMMYFUNCTION("IMPORTRANGE(""https://docs.google.com/spreadsheets/d/1eHaY18a8A9IcSdp1K8H6x8fbOy06t2VsZHhMHf-1x7Y/edit?usp=sharing"",""แผน!AY80"")"),0)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IFERROR(__xludf.DUMMYFUNCTION("IMPORTRANGE(""https://docs.google.com/spreadsheets/d/1eHaY18a8A9IcSdp1K8H6x8fbOy06t2VsZHhMHf-1x7Y/edit?usp=sharing"",""แผน!AZ80"")"),0)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IFERROR(__xludf.DUMMYFUNCTION("IMPORTRANGE(""https://docs.google.com/spreadsheets/d/1eHaY18a8A9IcSdp1K8H6x8fbOy06t2VsZHhMHf-1x7Y/edit?usp=sharing"",""แผน!BA80"")"),0)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IFERROR(__xludf.DUMMYFUNCTION("IMPORTRANGE(""https://docs.google.com/spreadsheets/d/1eHaY18a8A9IcSdp1K8H6x8fbOy06t2VsZHhMHf-1x7Y/edit?usp=sharing"",""แผน!BG80"")"),0)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IFERROR(__xludf.DUMMYFUNCTION("IMPORTRANGE(""https://docs.google.com/spreadsheets/d/1eHaY18a8A9IcSdp1K8H6x8fbOy06t2VsZHhMHf-1x7Y/edit?usp=sharing"",""แผน!BB80"")"),0)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IFERROR(__xludf.DUMMYFUNCTION("IMPORTRANGE(""https://docs.google.com/spreadsheets/d/1eHaY18a8A9IcSdp1K8H6x8fbOy06t2VsZHhMHf-1x7Y/edit?usp=sharing"",""แผน!BC80"")"),0)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IFERROR(__xludf.DUMMYFUNCTION("IMPORTRANGE(""https://docs.google.com/spreadsheets/d/1eHaY18a8A9IcSdp1K8H6x8fbOy06t2VsZHhMHf-1x7Y/edit?usp=sharing"",""แผน!BD80"")"),0)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IFERROR(__xludf.DUMMYFUNCTION("IMPORTRANGE(""https://docs.google.com/spreadsheets/d/1eHaY18a8A9IcSdp1K8H6x8fbOy06t2VsZHhMHf-1x7Y/edit?usp=sharing"",""แผน!BE80"")"),0)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IFERROR(__xludf.DUMMYFUNCTION("IMPORTRANGE(""https://docs.google.com/spreadsheets/d/1eHaY18a8A9IcSdp1K8H6x8fbOy06t2VsZHhMHf-1x7Y/edit?usp=sharing"",""แผน!BH80"")"),0)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20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47880</v>
      </c>
      <c r="R266" s="624">
        <f ca="1">R267+R268</f>
        <v>47880</v>
      </c>
      <c r="S266" s="624">
        <f ca="1">S267+S268</f>
        <v>0</v>
      </c>
      <c r="T266" s="624">
        <f t="shared" ref="T266:T274" ca="1" si="67">IF(Q266&gt;0,S266*100/Q266,0)</f>
        <v>0</v>
      </c>
      <c r="U266" s="624">
        <f t="shared" ref="U266:U274" ca="1" si="68">IF(R266&gt;0,S266*100/R266,0)</f>
        <v>0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47880</v>
      </c>
      <c r="R268" s="482">
        <f t="shared" ca="1" si="70"/>
        <v>47880</v>
      </c>
      <c r="S268" s="482">
        <f t="shared" ca="1" si="70"/>
        <v>0</v>
      </c>
      <c r="T268" s="482">
        <f t="shared" ca="1" si="67"/>
        <v>0</v>
      </c>
      <c r="U268" s="482">
        <f t="shared" ca="1" si="68"/>
        <v>0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47880</v>
      </c>
      <c r="R269" s="482">
        <f ca="1">R270+R271</f>
        <v>47880</v>
      </c>
      <c r="S269" s="482">
        <f ca="1">S270+S271</f>
        <v>0</v>
      </c>
      <c r="T269" s="482">
        <f t="shared" ca="1" si="67"/>
        <v>0</v>
      </c>
      <c r="U269" s="482">
        <f t="shared" ca="1" si="68"/>
        <v>0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IFERROR(__xludf.DUMMYFUNCTION("IMPORTRANGE(""https://docs.google.com/spreadsheets/d/1-uDff_7J0KD5mKrp0Vvzr7lt3OU09vwQwhkpOPPYv2Y/edit?usp=sharing"",""งบพรบ!DE80"")"),0)</f>
        <v>0</v>
      </c>
      <c r="M271" s="482">
        <f ca="1">IFERROR(__xludf.DUMMYFUNCTION("IMPORTRANGE(""https://docs.google.com/spreadsheets/d/1-uDff_7J0KD5mKrp0Vvzr7lt3OU09vwQwhkpOPPYv2Y/edit?usp=sharing"",""งบพรบ!DJ80"")"),5000)</f>
        <v>5000</v>
      </c>
      <c r="N271" s="482">
        <f ca="1">IFERROR(__xludf.DUMMYFUNCTION("IMPORTRANGE(""https://docs.google.com/spreadsheets/d/1-uDff_7J0KD5mKrp0Vvzr7lt3OU09vwQwhkpOPPYv2Y/edit?usp=sharing"",""งบพรบ!DL80"")"),0)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IFERROR(__xludf.DUMMYFUNCTION("IMPORTRANGE(""https://docs.google.com/spreadsheets/d/1ItG2mGa2ceCfYo0BwxsXqNm01IGEUdYcSSLTEv9YCik/edit?usp=sharing"",""เบิกจ่ายกองทุน!AJ80"")"),47880)</f>
        <v>47880</v>
      </c>
      <c r="R271" s="482">
        <f ca="1">IFERROR(__xludf.DUMMYFUNCTION("IMPORTRANGE(""https://docs.google.com/spreadsheets/d/1ItG2mGa2ceCfYo0BwxsXqNm01IGEUdYcSSLTEv9YCik/edit?usp=sharing"",""เบิกจ่ายกองทุน!AK80"")"),47880)</f>
        <v>47880</v>
      </c>
      <c r="S271" s="482">
        <f ca="1">IFERROR(__xludf.DUMMYFUNCTION("IMPORTRANGE(""https://docs.google.com/spreadsheets/d/1ItG2mGa2ceCfYo0BwxsXqNm01IGEUdYcSSLTEv9YCik/edit?usp=sharing"",""เบิกจ่ายกองทุน!AL80"")"),0)</f>
        <v>0</v>
      </c>
      <c r="T271" s="482">
        <f t="shared" ca="1" si="67"/>
        <v>0</v>
      </c>
      <c r="U271" s="482">
        <f t="shared" ca="1" si="68"/>
        <v>0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IFERROR(__xludf.DUMMYFUNCTION("IMPORTRANGE(""https://docs.google.com/spreadsheets/d/1-uDff_7J0KD5mKrp0Vvzr7lt3OU09vwQwhkpOPPYv2Y/edit?usp=sharing"",""งบพรบ!DH80"")"),0)</f>
        <v>0</v>
      </c>
      <c r="M274" s="482">
        <f ca="1">IFERROR(__xludf.DUMMYFUNCTION("IMPORTRANGE(""https://docs.google.com/spreadsheets/d/1-uDff_7J0KD5mKrp0Vvzr7lt3OU09vwQwhkpOPPYv2Y/edit?usp=sharing"",""งบพรบ!DK80"")"),0)</f>
        <v>0</v>
      </c>
      <c r="N274" s="482">
        <f ca="1">IFERROR(__xludf.DUMMYFUNCTION("IMPORTRANGE(""https://docs.google.com/spreadsheets/d/1-uDff_7J0KD5mKrp0Vvzr7lt3OU09vwQwhkpOPPYv2Y/edit?usp=sharing"",""งบพรบ!DM80"")"),0)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753"/>
      <c r="B276" s="752"/>
      <c r="C276" s="752"/>
      <c r="D276" s="751" t="s">
        <v>115</v>
      </c>
      <c r="E276" s="750"/>
      <c r="F276" s="750"/>
      <c r="G276" s="749"/>
      <c r="H276" s="748" t="s">
        <v>35</v>
      </c>
      <c r="I276" s="747">
        <f ca="1">IFERROR(__xludf.DUMMYFUNCTION("IMPORTRANGE(""https://docs.google.com/spreadsheets/d/1eHaY18a8A9IcSdp1K8H6x8fbOy06t2VsZHhMHf-1x7Y/edit?usp=sharing"",""แผน!EC80"")"),20)</f>
        <v>20</v>
      </c>
      <c r="J276" s="746">
        <v>0</v>
      </c>
      <c r="K276" s="745">
        <f ca="1">IF(I276&gt;0,J276*100/I276,0)</f>
        <v>0</v>
      </c>
      <c r="L276" s="473"/>
      <c r="M276" s="472"/>
      <c r="N276" s="472"/>
      <c r="O276" s="472"/>
      <c r="P276" s="472"/>
      <c r="Q276" s="472"/>
      <c r="R276" s="472"/>
      <c r="S276" s="472"/>
      <c r="T276" s="472"/>
      <c r="U276" s="472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15450</v>
      </c>
      <c r="T303" s="132">
        <f t="shared" ref="T303:T311" ca="1" si="79">IF(Q303&gt;0,S303*100/Q303,0)</f>
        <v>7.9388736531598081</v>
      </c>
      <c r="U303" s="132">
        <f t="shared" ref="U303:U311" ca="1" si="80">IF(R303&gt;0,S303*100/R303,0)</f>
        <v>7.9388732452263993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194611.99</v>
      </c>
      <c r="R305" s="47">
        <f t="shared" ca="1" si="82"/>
        <v>194612</v>
      </c>
      <c r="S305" s="47">
        <f t="shared" ca="1" si="82"/>
        <v>15450</v>
      </c>
      <c r="T305" s="47">
        <f t="shared" ca="1" si="79"/>
        <v>7.9388736531598081</v>
      </c>
      <c r="U305" s="47">
        <f t="shared" ca="1" si="80"/>
        <v>7.9388732452263993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15450</v>
      </c>
      <c r="T306" s="47">
        <f t="shared" ca="1" si="79"/>
        <v>7.9388736531598081</v>
      </c>
      <c r="U306" s="47">
        <f t="shared" ca="1" si="80"/>
        <v>7.9388732452263993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IFERROR(__xludf.DUMMYFUNCTION("IMPORTRANGE(""https://docs.google.com/spreadsheets/d/1ItG2mGa2ceCfYo0BwxsXqNm01IGEUdYcSSLTEv9YCik/edit?usp=sharing"",""เบิกจ่ายกองทุน!AQ80"")"),194612)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IFERROR(__xludf.DUMMYFUNCTION("IMPORTRANGE(""https://docs.google.com/spreadsheets/d/1ItG2mGa2ceCfYo0BwxsXqNm01IGEUdYcSSLTEv9YCik/edit?usp=sharing"",""เบิกจ่ายกองทุน!AR80"")"),15450)</f>
        <v>15450</v>
      </c>
      <c r="T308" s="47">
        <f t="shared" ca="1" si="79"/>
        <v>7.9388736531598081</v>
      </c>
      <c r="U308" s="47">
        <f t="shared" ca="1" si="80"/>
        <v>7.9388732452263993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200</v>
      </c>
      <c r="J332" s="596">
        <f ca="1">J344+J347+J348+J349+J353</f>
        <v>755</v>
      </c>
      <c r="K332" s="595">
        <f ca="1">IF(I332&gt;0,J332*100/I332,0)</f>
        <v>377.5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99000</v>
      </c>
      <c r="M333" s="132">
        <f ca="1">M334+M335</f>
        <v>104000</v>
      </c>
      <c r="N333" s="132">
        <f ca="1">N334+N335</f>
        <v>83015</v>
      </c>
      <c r="O333" s="132">
        <f t="shared" ref="O333:O341" ca="1" si="89">IF(L333&gt;0,N333*100/L333,0)</f>
        <v>83.853535353535349</v>
      </c>
      <c r="P333" s="132">
        <f t="shared" ref="P333:P341" ca="1" si="90">IF(M333&gt;0,N333*100/M333,0)</f>
        <v>79.822115384615387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99000</v>
      </c>
      <c r="M335" s="47">
        <f t="shared" ca="1" si="93"/>
        <v>104000</v>
      </c>
      <c r="N335" s="47">
        <f t="shared" ca="1" si="93"/>
        <v>83015</v>
      </c>
      <c r="O335" s="47">
        <f t="shared" ca="1" si="89"/>
        <v>83.853535353535349</v>
      </c>
      <c r="P335" s="47">
        <f t="shared" ca="1" si="90"/>
        <v>79.822115384615387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99000</v>
      </c>
      <c r="M336" s="47">
        <f ca="1">M337+M338</f>
        <v>104000</v>
      </c>
      <c r="N336" s="47">
        <f ca="1">N337+N338</f>
        <v>83015</v>
      </c>
      <c r="O336" s="47">
        <f t="shared" ca="1" si="89"/>
        <v>83.853535353535349</v>
      </c>
      <c r="P336" s="47">
        <f t="shared" ca="1" si="90"/>
        <v>79.822115384615387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IFERROR(__xludf.DUMMYFUNCTION("IMPORTRANGE(""https://docs.google.com/spreadsheets/d/1-uDff_7J0KD5mKrp0Vvzr7lt3OU09vwQwhkpOPPYv2Y/edit?usp=sharing"",""งบพรบ!ES80"")"),99000)</f>
        <v>99000</v>
      </c>
      <c r="M338" s="47">
        <f ca="1">IFERROR(__xludf.DUMMYFUNCTION("IMPORTRANGE(""https://docs.google.com/spreadsheets/d/1-uDff_7J0KD5mKrp0Vvzr7lt3OU09vwQwhkpOPPYv2Y/edit?usp=sharing"",""งบพรบ!EX80"")"),104000)</f>
        <v>104000</v>
      </c>
      <c r="N338" s="47">
        <f ca="1">IFERROR(__xludf.DUMMYFUNCTION("IMPORTRANGE(""https://docs.google.com/spreadsheets/d/1-uDff_7J0KD5mKrp0Vvzr7lt3OU09vwQwhkpOPPYv2Y/edit?usp=sharing"",""งบพรบ!EZ80"")"),83015)</f>
        <v>83015</v>
      </c>
      <c r="O338" s="47">
        <f t="shared" ca="1" si="89"/>
        <v>83.853535353535349</v>
      </c>
      <c r="P338" s="47">
        <f t="shared" ca="1" si="90"/>
        <v>79.822115384615387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149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644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IFERROR(__xludf.DUMMYFUNCTION("IMPORTRANGE(""https://docs.google.com/spreadsheets/d/1awYsYK3VOup2i3Pq_Yjnu8DRu_mYwSBnCR2QPthd0rU/edit?usp=sharing"",""โฉนดM3!G80"")"),38)</f>
        <v>38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IFERROR(__xludf.DUMMYFUNCTION("IMPORTRANGE(""https://docs.google.com/spreadsheets/d/1awYsYK3VOup2i3Pq_Yjnu8DRu_mYwSBnCR2QPthd0rU/edit?usp=sharing"",""โฉนดM3!H80"")"),606)</f>
        <v>606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535170</v>
      </c>
      <c r="M356" s="132">
        <f ca="1">M357+M358</f>
        <v>535170</v>
      </c>
      <c r="N356" s="132">
        <f ca="1">N357+N358</f>
        <v>452705.22</v>
      </c>
      <c r="O356" s="132">
        <f t="shared" ref="O356:O364" ca="1" si="95">IF(L356&gt;0,N356*100/L356,0)</f>
        <v>84.590918773473845</v>
      </c>
      <c r="P356" s="132">
        <f t="shared" ref="P356:P364" ca="1" si="96">IF(M356&gt;0,N356*100/M356,0)</f>
        <v>84.590918773473845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535170</v>
      </c>
      <c r="M358" s="47">
        <f t="shared" ca="1" si="99"/>
        <v>535170</v>
      </c>
      <c r="N358" s="47">
        <f t="shared" ca="1" si="99"/>
        <v>452705.22</v>
      </c>
      <c r="O358" s="47">
        <f t="shared" ca="1" si="95"/>
        <v>84.590918773473845</v>
      </c>
      <c r="P358" s="47">
        <f t="shared" ca="1" si="96"/>
        <v>84.590918773473845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535170</v>
      </c>
      <c r="M359" s="47">
        <f ca="1">M360+M361</f>
        <v>535170</v>
      </c>
      <c r="N359" s="47">
        <f ca="1">N360+N361</f>
        <v>452705.22</v>
      </c>
      <c r="O359" s="47">
        <f t="shared" ca="1" si="95"/>
        <v>84.590918773473845</v>
      </c>
      <c r="P359" s="47">
        <f t="shared" ca="1" si="96"/>
        <v>84.590918773473845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IFERROR(__xludf.DUMMYFUNCTION("IMPORTRANGE(""https://docs.google.com/spreadsheets/d/1-uDff_7J0KD5mKrp0Vvzr7lt3OU09vwQwhkpOPPYv2Y/edit?usp=sharing"",""งบพรบ!FC80"")"),535170)</f>
        <v>535170</v>
      </c>
      <c r="M361" s="47">
        <f ca="1">IFERROR(__xludf.DUMMYFUNCTION("IMPORTRANGE(""https://docs.google.com/spreadsheets/d/1-uDff_7J0KD5mKrp0Vvzr7lt3OU09vwQwhkpOPPYv2Y/edit?usp=sharing"",""งบพรบ!FH80"")"),535170)</f>
        <v>535170</v>
      </c>
      <c r="N361" s="47">
        <f ca="1">IFERROR(__xludf.DUMMYFUNCTION("IMPORTRANGE(""https://docs.google.com/spreadsheets/d/1-uDff_7J0KD5mKrp0Vvzr7lt3OU09vwQwhkpOPPYv2Y/edit?usp=sharing"",""งบพรบ!FJ80"")"),452705.22)</f>
        <v>452705.22</v>
      </c>
      <c r="O361" s="47">
        <f t="shared" ca="1" si="95"/>
        <v>84.590918773473845</v>
      </c>
      <c r="P361" s="47">
        <f t="shared" ca="1" si="96"/>
        <v>84.590918773473845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32</v>
      </c>
      <c r="K365" s="229">
        <f ca="1">IF(I365&gt;0,J365*100/I365,0)</f>
        <v>100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IFERROR(__xludf.DUMMYFUNCTION("IMPORTRANGE(""https://docs.google.com/spreadsheets/d/1eHaY18a8A9IcSdp1K8H6x8fbOy06t2VsZHhMHf-1x7Y/edit?usp=sharing"",""แผน!EW80"")"),170)</f>
        <v>170</v>
      </c>
      <c r="J368" s="584">
        <f ca="1">IFERROR(__xludf.DUMMYFUNCTION("IMPORTRANGE(""https://docs.google.com/spreadsheets/d/1tdoBKaGub7dwA3U6UFTqxio9LNnvDCQjHKmttSEBsFQ/edit?usp=sharing"",""จัดที่ดิน!AC80"")"),156.25)</f>
        <v>156.25</v>
      </c>
      <c r="K368" s="47">
        <f t="shared" ca="1" si="101"/>
        <v>91.911764705882348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IFERROR(__xludf.DUMMYFUNCTION("IMPORTRANGE(""https://docs.google.com/spreadsheets/d/1tdoBKaGub7dwA3U6UFTqxio9LNnvDCQjHKmttSEBsFQ/edit?usp=sharing"",""จัดที่ดิน!AD80"")"),35)</f>
        <v>35</v>
      </c>
      <c r="K369" s="47">
        <f t="shared" ca="1" si="101"/>
        <v>109.375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IFERROR(__xludf.DUMMYFUNCTION("IMPORTRANGE(""https://docs.google.com/spreadsheets/d/1tdoBKaGub7dwA3U6UFTqxio9LNnvDCQjHKmttSEBsFQ/edit?usp=sharing"",""จัดที่ดิน!AE80"")"),153.39)</f>
        <v>153.38999999999999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IFERROR(__xludf.DUMMYFUNCTION("IMPORTRANGE(""https://docs.google.com/spreadsheets/d/1tdoBKaGub7dwA3U6UFTqxio9LNnvDCQjHKmttSEBsFQ/edit?usp=sharing"",""จัดที่ดิน!AF80"")"),32)</f>
        <v>32</v>
      </c>
      <c r="K371" s="47">
        <f t="shared" ca="1" si="101"/>
        <v>100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IFERROR(__xludf.DUMMYFUNCTION("IMPORTRANGE(""https://docs.google.com/spreadsheets/d/1tdoBKaGub7dwA3U6UFTqxio9LNnvDCQjHKmttSEBsFQ/edit?usp=sharing"",""จัดที่ดิน!AG80"")"),149.09)</f>
        <v>149.09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300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18750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18750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18750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IFERROR(__xludf.DUMMYFUNCTION("IMPORTRANGE(""https://docs.google.com/spreadsheets/d/1ItG2mGa2ceCfYo0BwxsXqNm01IGEUdYcSSLTEv9YCik/edit?usp=sharing"",""เบิกจ่ายกองทุน!AZ80"")"),0)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IFERROR(__xludf.DUMMYFUNCTION("IMPORTRANGE(""https://docs.google.com/spreadsheets/d/1ItG2mGa2ceCfYo0BwxsXqNm01IGEUdYcSSLTEv9YCik/edit?usp=sharing"",""เบิกจ่ายกองทุน!BA80"")"),0)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IFERROR(__xludf.DUMMYFUNCTION("IMPORTRANGE(""https://docs.google.com/spreadsheets/d/1w5rwWK1o49a35cNtocGL0gxDwhFSTZUQu90BiH9_zqM/edit?usp=sharing"",""RTK!L80"")"),0)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IFERROR(__xludf.DUMMYFUNCTION("IMPORTRANGE(""https://docs.google.com/spreadsheets/d/1w5rwWK1o49a35cNtocGL0gxDwhFSTZUQu90BiH9_zqM/edit?usp=sharing"",""RTK!K80"")"),0)</f>
        <v>0</v>
      </c>
      <c r="J388" s="483">
        <f ca="1">IFERROR(__xludf.DUMMYFUNCTION("IMPORTRANGE(""https://docs.google.com/spreadsheets/d/1w5rwWK1o49a35cNtocGL0gxDwhFSTZUQu90BiH9_zqM/edit?usp=sharing"",""RTK!M80"")"),0)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IFERROR(__xludf.DUMMYFUNCTION("IMPORTRANGE(""https://docs.google.com/spreadsheets/d/1ItG2mGa2ceCfYo0BwxsXqNm01IGEUdYcSSLTEv9YCik/edit?usp=sharing"",""เบิกจ่ายกองทุน!BJ80"")"),0)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IFERROR(__xludf.DUMMYFUNCTION("IMPORTRANGE(""https://docs.google.com/spreadsheets/d/1eHaY18a8A9IcSdp1K8H6x8fbOy06t2VsZHhMHf-1x7Y/edit?usp=sharing"",""แผน!HN80"")"),0)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IFERROR(__xludf.DUMMYFUNCTION("IMPORTRANGE(""https://docs.google.com/spreadsheets/d/1eHaY18a8A9IcSdp1K8H6x8fbOy06t2VsZHhMHf-1x7Y/edit?usp=sharing"",""แผน!HO80"")"),0)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IFERROR(__xludf.DUMMYFUNCTION("IMPORTRANGE(""https://docs.google.com/spreadsheets/d/1ItG2mGa2ceCfYo0BwxsXqNm01IGEUdYcSSLTEv9YCik/edit?usp=sharing"",""เบิกจ่ายกองทุน!Z80"")"),0)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1000</v>
      </c>
      <c r="T616" s="132">
        <f t="shared" ref="T616:T624" ca="1" si="159">IF(Q616&gt;0,S616*100/Q616,0)</f>
        <v>14.705882352941176</v>
      </c>
      <c r="U616" s="132">
        <f t="shared" ref="U616:U624" ca="1" si="160">IF(R616&gt;0,S616*100/R616,0)</f>
        <v>14.705882352941176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6800</v>
      </c>
      <c r="R618" s="47">
        <f t="shared" ca="1" si="162"/>
        <v>6800</v>
      </c>
      <c r="S618" s="47">
        <f t="shared" ca="1" si="162"/>
        <v>1000</v>
      </c>
      <c r="T618" s="47">
        <f t="shared" ca="1" si="159"/>
        <v>14.705882352941176</v>
      </c>
      <c r="U618" s="47">
        <f t="shared" ca="1" si="160"/>
        <v>14.705882352941176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6800</v>
      </c>
      <c r="R619" s="47">
        <f ca="1">R620+R621</f>
        <v>6800</v>
      </c>
      <c r="S619" s="47">
        <f ca="1">S620+S621</f>
        <v>1000</v>
      </c>
      <c r="T619" s="47">
        <f t="shared" ca="1" si="159"/>
        <v>14.705882352941176</v>
      </c>
      <c r="U619" s="47">
        <f t="shared" ca="1" si="160"/>
        <v>14.705882352941176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IFERROR(__xludf.DUMMYFUNCTION("IMPORTRANGE(""https://docs.google.com/spreadsheets/d/1ItG2mGa2ceCfYo0BwxsXqNm01IGEUdYcSSLTEv9YCik/edit?usp=sharing"",""เบิกจ่ายกองทุน!H80"")"),1000)</f>
        <v>1000</v>
      </c>
      <c r="T621" s="47">
        <f t="shared" ca="1" si="159"/>
        <v>14.705882352941176</v>
      </c>
      <c r="U621" s="47">
        <f t="shared" ca="1" si="160"/>
        <v>14.705882352941176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8200</v>
      </c>
      <c r="R644" s="47">
        <f t="shared" ca="1" si="168"/>
        <v>8200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hidden="1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hidden="1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0</v>
      </c>
      <c r="R692" s="47">
        <f t="shared" ca="1" si="174"/>
        <v>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hidden="1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IFERROR(__xludf.DUMMYFUNCTION("IMPORTRANGE(""https://docs.google.com/spreadsheets/d/1eHaY18a8A9IcSdp1K8H6x8fbOy06t2VsZHhMHf-1x7Y/edit?usp=sharing"",""แผน!GA80"")"),6)</f>
        <v>6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IFERROR(__xludf.DUMMYFUNCTION("IMPORTRANGE(""https://docs.google.com/spreadsheets/d/1eHaY18a8A9IcSdp1K8H6x8fbOy06t2VsZHhMHf-1x7Y/edit?usp=sharing"",""แผน!FZ80"")"),50)</f>
        <v>50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1000</v>
      </c>
      <c r="T728" s="132">
        <f t="shared" ref="T728:T736" ca="1" si="184">IF(Q728&gt;0,S728*100/Q728,0)</f>
        <v>1.2561867195940004</v>
      </c>
      <c r="U728" s="132">
        <f t="shared" ref="U728:U736" ca="1" si="185">IF(R728&gt;0,S728*100/R728,0)</f>
        <v>1.2561867195940004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79606</v>
      </c>
      <c r="R730" s="47">
        <f t="shared" ca="1" si="187"/>
        <v>79606</v>
      </c>
      <c r="S730" s="47">
        <f t="shared" ca="1" si="187"/>
        <v>1000</v>
      </c>
      <c r="T730" s="47">
        <f t="shared" ca="1" si="184"/>
        <v>1.2561867195940004</v>
      </c>
      <c r="U730" s="47">
        <f t="shared" ca="1" si="185"/>
        <v>1.2561867195940004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79606</v>
      </c>
      <c r="R731" s="47">
        <f ca="1">R732+R733</f>
        <v>79606</v>
      </c>
      <c r="S731" s="47">
        <f ca="1">S732+S733</f>
        <v>1000</v>
      </c>
      <c r="T731" s="47">
        <f t="shared" ca="1" si="184"/>
        <v>1.2561867195940004</v>
      </c>
      <c r="U731" s="47">
        <f t="shared" ca="1" si="185"/>
        <v>1.2561867195940004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IFERROR(__xludf.DUMMYFUNCTION("IMPORTRANGE(""https://docs.google.com/spreadsheets/d/1ItG2mGa2ceCfYo0BwxsXqNm01IGEUdYcSSLTEv9YCik/edit?usp=sharing"",""เบิกจ่ายกองทุน!Q80"")"),1000)</f>
        <v>1000</v>
      </c>
      <c r="T733" s="47">
        <f t="shared" ca="1" si="184"/>
        <v>1.2561867195940004</v>
      </c>
      <c r="U733" s="47">
        <f t="shared" ca="1" si="185"/>
        <v>1.2561867195940004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IFERROR(__xludf.DUMMYFUNCTION("IMPORTRANGE(""https://docs.google.com/spreadsheets/d/1eHaY18a8A9IcSdp1K8H6x8fbOy06t2VsZHhMHf-1x7Y/edit?usp=sharing"",""แผน!GB80"")"),40)</f>
        <v>40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IFERROR(__xludf.DUMMYFUNCTION("IMPORTRANGE(""https://docs.google.com/spreadsheets/d/1eHaY18a8A9IcSdp1K8H6x8fbOy06t2VsZHhMHf-1x7Y/edit?usp=sharing"",""แผน!GC80"")"),4)</f>
        <v>4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IFERROR(__xludf.DUMMYFUNCTION("IMPORTRANGE(""https://docs.google.com/spreadsheets/d/1eHaY18a8A9IcSdp1K8H6x8fbOy06t2VsZHhMHf-1x7Y/edit?usp=sharing"",""แผน!GD80"")"),10)</f>
        <v>10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IFERROR(__xludf.DUMMYFUNCTION("IMPORTRANGE(""https://docs.google.com/spreadsheets/d/1eHaY18a8A9IcSdp1K8H6x8fbOy06t2VsZHhMHf-1x7Y/edit?usp=sharing"",""แผน!GE80"")"),1)</f>
        <v>1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IFERROR(__xludf.DUMMYFUNCTION("IMPORTRANGE(""https://docs.google.com/spreadsheets/d/1eHaY18a8A9IcSdp1K8H6x8fbOy06t2VsZHhMHf-1x7Y/edit?usp=sharing"",""แผน!GF80"")"),1)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IFERROR(__xludf.DUMMYFUNCTION("IMPORTRANGE(""https://docs.google.com/spreadsheets/d/1eHaY18a8A9IcSdp1K8H6x8fbOy06t2VsZHhMHf-1x7Y/edit?usp=sharing"",""แผน!GB80"")"),40)</f>
        <v>40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IFERROR(__xludf.DUMMYFUNCTION("IMPORTRANGE(""https://docs.google.com/spreadsheets/d/1eHaY18a8A9IcSdp1K8H6x8fbOy06t2VsZHhMHf-1x7Y/edit?usp=sharing"",""แผน!GD80"")"),10)</f>
        <v>10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10</v>
      </c>
      <c r="J758" s="433">
        <f>J772</f>
        <v>10</v>
      </c>
      <c r="K758" s="434">
        <f ca="1">IF(I758&gt;0,J758*100/I758,0)</f>
        <v>100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20</v>
      </c>
      <c r="J759" s="433">
        <f>J774</f>
        <v>20</v>
      </c>
      <c r="K759" s="434">
        <f ca="1">IF(I759&gt;0,J759*100/I759,0)</f>
        <v>100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77420</v>
      </c>
      <c r="T760" s="132">
        <f t="shared" ref="T760:T768" ca="1" si="190">IF(Q760&gt;0,S760*100/Q760,0)</f>
        <v>84.741681260945711</v>
      </c>
      <c r="U760" s="132">
        <f t="shared" ref="U760:U768" ca="1" si="191">IF(R760&gt;0,S760*100/R760,0)</f>
        <v>84.741681260945711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91360</v>
      </c>
      <c r="R762" s="47">
        <f t="shared" ca="1" si="193"/>
        <v>91360</v>
      </c>
      <c r="S762" s="47">
        <f t="shared" ca="1" si="193"/>
        <v>77420</v>
      </c>
      <c r="T762" s="47">
        <f t="shared" ca="1" si="190"/>
        <v>84.741681260945711</v>
      </c>
      <c r="U762" s="47">
        <f t="shared" ca="1" si="191"/>
        <v>84.741681260945711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91360</v>
      </c>
      <c r="R763" s="47">
        <f ca="1">R764+R765</f>
        <v>91360</v>
      </c>
      <c r="S763" s="47">
        <f ca="1">S764+S765</f>
        <v>77420</v>
      </c>
      <c r="T763" s="47">
        <f t="shared" ca="1" si="190"/>
        <v>84.741681260945711</v>
      </c>
      <c r="U763" s="47">
        <f t="shared" ca="1" si="191"/>
        <v>84.741681260945711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IFERROR(__xludf.DUMMYFUNCTION("IMPORTRANGE(""https://docs.google.com/spreadsheets/d/1ItG2mGa2ceCfYo0BwxsXqNm01IGEUdYcSSLTEv9YCik/edit?usp=sharing"",""เบิกจ่ายกองทุน!V80"")"),91360)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IFERROR(__xludf.DUMMYFUNCTION("IMPORTRANGE(""https://docs.google.com/spreadsheets/d/1ItG2mGa2ceCfYo0BwxsXqNm01IGEUdYcSSLTEv9YCik/edit?usp=sharing"",""เบิกจ่ายกองทุน!W80"")"),77420)</f>
        <v>77420</v>
      </c>
      <c r="T765" s="47">
        <f t="shared" ca="1" si="190"/>
        <v>84.741681260945711</v>
      </c>
      <c r="U765" s="47">
        <f t="shared" ca="1" si="191"/>
        <v>84.741681260945711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IFERROR(__xludf.DUMMYFUNCTION("IMPORTRANGE(""https://docs.google.com/spreadsheets/d/1eHaY18a8A9IcSdp1K8H6x8fbOy06t2VsZHhMHf-1x7Y/edit?usp=sharing"",""แผน!FI80"")"),0)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46">
        <v>10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IFERROR(__xludf.DUMMYFUNCTION("IMPORTRANGE(""https://docs.google.com/spreadsheets/d/10OvvATaaLtwErnr3qtWFcTmtbfpFEt5Bsqel9sXx0uE/edit?usp=sharing"",""งานกองทุน!F80"")"),53464.79)</f>
        <v>53464.79</v>
      </c>
      <c r="K778" s="47">
        <f t="shared" ref="K778:K785" ca="1" si="194">IF(I778&gt;0,J778*100/I778,0)</f>
        <v>10.991131798280188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IFERROR(__xludf.DUMMYFUNCTION("IMPORTRANGE(""https://docs.google.com/spreadsheets/d/10OvvATaaLtwErnr3qtWFcTmtbfpFEt5Bsqel9sXx0uE/edit?usp=sharing"",""งานกองทุน!E80"")"),14)</f>
        <v>14</v>
      </c>
      <c r="K779" s="47">
        <f t="shared" ca="1" si="194"/>
        <v>40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IFERROR(__xludf.DUMMYFUNCTION("IMPORTRANGE(""https://docs.google.com/spreadsheets/d/10OvvATaaLtwErnr3qtWFcTmtbfpFEt5Bsqel9sXx0uE/edit?usp=sharing"",""งานกองทุน!K80"")"),62809.97)</f>
        <v>62809.97</v>
      </c>
      <c r="K780" s="47">
        <f t="shared" ca="1" si="194"/>
        <v>3.493545403413691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t="shared" ca="1" si="194"/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IFERROR(__xludf.DUMMYFUNCTION("IMPORTRANGE(""https://docs.google.com/spreadsheets/d/10OvvATaaLtwErnr3qtWFcTmtbfpFEt5Bsqel9sXx0uE/edit?usp=sharing"",""งานกองทุน!P80"")"),645.88)</f>
        <v>645.88</v>
      </c>
      <c r="K782" s="47">
        <f t="shared" ca="1" si="194"/>
        <v>2.211286985596232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IFERROR(__xludf.DUMMYFUNCTION("IMPORTRANGE(""https://docs.google.com/spreadsheets/d/10OvvATaaLtwErnr3qtWFcTmtbfpFEt5Bsqel9sXx0uE/edit?usp=sharing"",""งานกองทุน!O80"")"),3)</f>
        <v>3</v>
      </c>
      <c r="K783" s="47">
        <f t="shared" ca="1" si="194"/>
        <v>3.4482758620689653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t="shared" ca="1" si="194"/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t="shared" ca="1" si="194"/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Q5:R5"/>
    <mergeCell ref="S5:U5"/>
    <mergeCell ref="L4:P4"/>
    <mergeCell ref="Q4:U4"/>
    <mergeCell ref="A5:G6"/>
    <mergeCell ref="I5:K5"/>
    <mergeCell ref="N5:P5"/>
    <mergeCell ref="A1:U1"/>
    <mergeCell ref="A2:U2"/>
    <mergeCell ref="A3:U3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BBA45-6C36-47EB-825D-5CDBB9E53F0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319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1425746</v>
      </c>
      <c r="M18" s="35">
        <f ca="1">M19+M20</f>
        <v>1460110</v>
      </c>
      <c r="N18" s="35">
        <f ca="1">N19+N20</f>
        <v>1113365.98</v>
      </c>
      <c r="O18" s="35">
        <f t="shared" ref="O18:O26" ca="1" si="0">IF(L18&gt;0,N18*100/L18,0)</f>
        <v>78.090065130815731</v>
      </c>
      <c r="P18" s="35">
        <f t="shared" ref="P18:P26" ca="1" si="1">IF(M18&gt;0,N18*100/M18,0)</f>
        <v>76.252198806939205</v>
      </c>
      <c r="Q18" s="35">
        <f ca="1">Q19+Q20</f>
        <v>942172.22</v>
      </c>
      <c r="R18" s="35">
        <f ca="1">R19+R20</f>
        <v>892172</v>
      </c>
      <c r="S18" s="35">
        <f ca="1">S19+S20</f>
        <v>145435</v>
      </c>
      <c r="T18" s="35">
        <f t="shared" ref="T18:T26" ca="1" si="2">IF(Q18&gt;0,S18*100/Q18,0)</f>
        <v>15.436137567291041</v>
      </c>
      <c r="U18" s="35">
        <f t="shared" ref="U18:U26" ca="1" si="3">IF(R18&gt;0,S18*100/R18,0)</f>
        <v>16.301228911017159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1425746</v>
      </c>
      <c r="M20" s="39">
        <f t="shared" ca="1" si="4"/>
        <v>1460110</v>
      </c>
      <c r="N20" s="39">
        <f t="shared" ca="1" si="4"/>
        <v>1113365.98</v>
      </c>
      <c r="O20" s="39">
        <f t="shared" ca="1" si="0"/>
        <v>78.090065130815731</v>
      </c>
      <c r="P20" s="39">
        <f t="shared" ca="1" si="1"/>
        <v>76.252198806939205</v>
      </c>
      <c r="Q20" s="39">
        <f t="shared" ca="1" si="5"/>
        <v>942172.22</v>
      </c>
      <c r="R20" s="39">
        <f t="shared" ca="1" si="5"/>
        <v>892172</v>
      </c>
      <c r="S20" s="39">
        <f t="shared" ca="1" si="5"/>
        <v>145435</v>
      </c>
      <c r="T20" s="39">
        <f t="shared" ca="1" si="2"/>
        <v>15.436137567291041</v>
      </c>
      <c r="U20" s="39">
        <f t="shared" ca="1" si="3"/>
        <v>16.301228911017159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1425746</v>
      </c>
      <c r="M21" s="47">
        <f ca="1">M22+M23</f>
        <v>1460110</v>
      </c>
      <c r="N21" s="47">
        <f ca="1">N22+N23</f>
        <v>1113365.98</v>
      </c>
      <c r="O21" s="47">
        <f t="shared" ca="1" si="0"/>
        <v>78.090065130815731</v>
      </c>
      <c r="P21" s="47">
        <f t="shared" ca="1" si="1"/>
        <v>76.252198806939205</v>
      </c>
      <c r="Q21" s="47">
        <f ca="1">Q22+Q23</f>
        <v>942172.22</v>
      </c>
      <c r="R21" s="47">
        <f ca="1">R22+R23</f>
        <v>892172</v>
      </c>
      <c r="S21" s="47">
        <f ca="1">S22+S23</f>
        <v>145435</v>
      </c>
      <c r="T21" s="47">
        <f t="shared" ca="1" si="2"/>
        <v>15.436137567291041</v>
      </c>
      <c r="U21" s="47">
        <f t="shared" ca="1" si="3"/>
        <v>16.301228911017159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1425746</v>
      </c>
      <c r="M23" s="47">
        <f t="shared" ca="1" si="6"/>
        <v>1460110</v>
      </c>
      <c r="N23" s="47">
        <f t="shared" ca="1" si="6"/>
        <v>1113365.98</v>
      </c>
      <c r="O23" s="47">
        <f t="shared" ca="1" si="0"/>
        <v>78.090065130815731</v>
      </c>
      <c r="P23" s="47">
        <f t="shared" ca="1" si="1"/>
        <v>76.252198806939205</v>
      </c>
      <c r="Q23" s="47">
        <f t="shared" ca="1" si="7"/>
        <v>942172.22</v>
      </c>
      <c r="R23" s="47">
        <f t="shared" ca="1" si="7"/>
        <v>892172</v>
      </c>
      <c r="S23" s="47">
        <f t="shared" ca="1" si="7"/>
        <v>145435</v>
      </c>
      <c r="T23" s="47">
        <f t="shared" ca="1" si="2"/>
        <v>15.436137567291041</v>
      </c>
      <c r="U23" s="47">
        <f t="shared" ca="1" si="3"/>
        <v>16.301228911017159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1425746</v>
      </c>
      <c r="M40" s="703">
        <f ca="1">M44+M59+M72+M94+M125+M139+M157+M173+M186+M266+M282+M303+M320+M333+M356</f>
        <v>1460110</v>
      </c>
      <c r="N40" s="703">
        <f ca="1">N44+N59+N72+N94+N125+N139+N157+N173+N186+N266+N282+N303+N320+N333+N356</f>
        <v>1113365.98</v>
      </c>
      <c r="O40" s="703">
        <f ca="1">IF(L40&gt;0,N40*100/L40,0)</f>
        <v>78.090065130815731</v>
      </c>
      <c r="P40" s="703">
        <f ca="1">IF(M40&gt;0,N40*100/M40,0)</f>
        <v>76.252198806939205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133266</v>
      </c>
      <c r="M44" s="79">
        <f ca="1">M45+M46</f>
        <v>144580</v>
      </c>
      <c r="N44" s="79">
        <f ca="1">N45+N46</f>
        <v>141112.57999999999</v>
      </c>
      <c r="O44" s="79">
        <f t="shared" ref="O44:O52" ca="1" si="10">IF(L44&gt;0,N44*100/L44,0)</f>
        <v>105.88790839373883</v>
      </c>
      <c r="P44" s="79">
        <f t="shared" ref="P44:P52" ca="1" si="11">IF(M44&gt;0,N44*100/M44,0)</f>
        <v>97.601729146493284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133266</v>
      </c>
      <c r="M46" s="83">
        <f t="shared" ca="1" si="14"/>
        <v>144580</v>
      </c>
      <c r="N46" s="83">
        <f t="shared" ca="1" si="14"/>
        <v>141112.57999999999</v>
      </c>
      <c r="O46" s="83">
        <f t="shared" ca="1" si="10"/>
        <v>105.88790839373883</v>
      </c>
      <c r="P46" s="83">
        <f t="shared" ca="1" si="11"/>
        <v>97.601729146493284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133266</v>
      </c>
      <c r="M47" s="47">
        <f ca="1">M48+M49</f>
        <v>144580</v>
      </c>
      <c r="N47" s="47">
        <f ca="1">N48+N49</f>
        <v>141112.57999999999</v>
      </c>
      <c r="O47" s="47">
        <f t="shared" ca="1" si="10"/>
        <v>105.88790839373883</v>
      </c>
      <c r="P47" s="47">
        <f t="shared" ca="1" si="11"/>
        <v>97.601729146493284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IFERROR(__xludf.DUMMYFUNCTION("IMPORTRANGE(""https://docs.google.com/spreadsheets/d/1-uDff_7J0KD5mKrp0Vvzr7lt3OU09vwQwhkpOPPYv2Y/edit?usp=sharing"",""งบพรบ!P81"")"),133266)</f>
        <v>133266</v>
      </c>
      <c r="M49" s="47">
        <f ca="1">IFERROR(__xludf.DUMMYFUNCTION("IMPORTRANGE(""https://docs.google.com/spreadsheets/d/1-uDff_7J0KD5mKrp0Vvzr7lt3OU09vwQwhkpOPPYv2Y/edit?usp=sharing"",""งบพรบ!V81"")"),144580)</f>
        <v>144580</v>
      </c>
      <c r="N49" s="47">
        <f ca="1">IFERROR(__xludf.DUMMYFUNCTION("IMPORTRANGE(""https://docs.google.com/spreadsheets/d/1-uDff_7J0KD5mKrp0Vvzr7lt3OU09vwQwhkpOPPYv2Y/edit?usp=sharing"",""งบพรบ!Y81"")"),141112.58)</f>
        <v>141112.57999999999</v>
      </c>
      <c r="O49" s="47">
        <f t="shared" ca="1" si="10"/>
        <v>105.88790839373883</v>
      </c>
      <c r="P49" s="47">
        <f t="shared" ca="1" si="11"/>
        <v>97.601729146493284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621300</v>
      </c>
      <c r="M59" s="106">
        <f ca="1">M60+M61</f>
        <v>621300</v>
      </c>
      <c r="N59" s="106">
        <f ca="1">N60+N61</f>
        <v>576576.07999999996</v>
      </c>
      <c r="O59" s="106">
        <f t="shared" ref="O59:O67" ca="1" si="16">IF(L59&gt;0,N59*100/L59,0)</f>
        <v>92.801558023499098</v>
      </c>
      <c r="P59" s="106">
        <f t="shared" ref="P59:P67" ca="1" si="17">IF(M59&gt;0,N59*100/M59,0)</f>
        <v>92.801558023499098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621300</v>
      </c>
      <c r="M61" s="109">
        <f t="shared" ca="1" si="20"/>
        <v>621300</v>
      </c>
      <c r="N61" s="109">
        <f t="shared" ca="1" si="20"/>
        <v>576576.07999999996</v>
      </c>
      <c r="O61" s="109">
        <f t="shared" ca="1" si="16"/>
        <v>92.801558023499098</v>
      </c>
      <c r="P61" s="109">
        <f t="shared" ca="1" si="17"/>
        <v>92.801558023499098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621300</v>
      </c>
      <c r="M62" s="47">
        <f ca="1">M63+M64</f>
        <v>621300</v>
      </c>
      <c r="N62" s="47">
        <f ca="1">N63+N64</f>
        <v>576576.07999999996</v>
      </c>
      <c r="O62" s="47">
        <f t="shared" ca="1" si="16"/>
        <v>92.801558023499098</v>
      </c>
      <c r="P62" s="47">
        <f t="shared" ca="1" si="17"/>
        <v>92.801558023499098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IFERROR(__xludf.DUMMYFUNCTION("IMPORTRANGE(""https://docs.google.com/spreadsheets/d/1-uDff_7J0KD5mKrp0Vvzr7lt3OU09vwQwhkpOPPYv2Y/edit?usp=sharing"",""งบพรบ!AC81"")"),621300)</f>
        <v>621300</v>
      </c>
      <c r="M64" s="47">
        <f ca="1">IFERROR(__xludf.DUMMYFUNCTION("IMPORTRANGE(""https://docs.google.com/spreadsheets/d/1-uDff_7J0KD5mKrp0Vvzr7lt3OU09vwQwhkpOPPYv2Y/edit?usp=sharing"",""งบพรบ!AH81"")"),621300)</f>
        <v>621300</v>
      </c>
      <c r="N64" s="47">
        <f ca="1">IFERROR(__xludf.DUMMYFUNCTION("IMPORTRANGE(""https://docs.google.com/spreadsheets/d/1-uDff_7J0KD5mKrp0Vvzr7lt3OU09vwQwhkpOPPYv2Y/edit?usp=sharing"",""งบพรบ!AJ81"")"),576576.08)</f>
        <v>576576.07999999996</v>
      </c>
      <c r="O64" s="47">
        <f t="shared" ca="1" si="16"/>
        <v>92.801558023499098</v>
      </c>
      <c r="P64" s="47">
        <f t="shared" ca="1" si="17"/>
        <v>92.801558023499098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IFERROR(__xludf.DUMMYFUNCTION("IMPORTRANGE(""https://docs.google.com/spreadsheets/d/1-uDff_7J0KD5mKrp0Vvzr7lt3OU09vwQwhkpOPPYv2Y/edit?usp=sharing"",""งบพรบ!AF81"")"),0)</f>
        <v>0</v>
      </c>
      <c r="M67" s="111">
        <f ca="1">IFERROR(__xludf.DUMMYFUNCTION("IMPORTRANGE(""https://docs.google.com/spreadsheets/d/1-uDff_7J0KD5mKrp0Vvzr7lt3OU09vwQwhkpOPPYv2Y/edit?usp=sharing"",""งบพรบ!AI81"")"),0)</f>
        <v>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0</v>
      </c>
      <c r="M72" s="132">
        <f ca="1">M73+M74</f>
        <v>0</v>
      </c>
      <c r="N72" s="132">
        <f ca="1">N73+N74</f>
        <v>0</v>
      </c>
      <c r="O72" s="132">
        <f t="shared" ref="O72:O80" ca="1" si="22">IF(L72&gt;0,N72*100/L72,0)</f>
        <v>0</v>
      </c>
      <c r="P72" s="132">
        <f t="shared" ref="P72:P80" ca="1" si="23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0</v>
      </c>
      <c r="M74" s="47">
        <f t="shared" ca="1" si="26"/>
        <v>0</v>
      </c>
      <c r="N74" s="47">
        <f t="shared" ca="1" si="26"/>
        <v>0</v>
      </c>
      <c r="O74" s="47">
        <f t="shared" ca="1" si="22"/>
        <v>0</v>
      </c>
      <c r="P74" s="47">
        <f t="shared" ca="1" si="23"/>
        <v>0</v>
      </c>
      <c r="Q74" s="47">
        <f t="shared" ca="1" si="27"/>
        <v>0</v>
      </c>
      <c r="R74" s="47">
        <f t="shared" ca="1" si="27"/>
        <v>0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0</v>
      </c>
      <c r="M75" s="47">
        <f ca="1">M76+M77</f>
        <v>0</v>
      </c>
      <c r="N75" s="47">
        <f ca="1">N76+N77</f>
        <v>0</v>
      </c>
      <c r="O75" s="47">
        <f t="shared" ca="1" si="22"/>
        <v>0</v>
      </c>
      <c r="P75" s="47">
        <f t="shared" ca="1" si="23"/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t="shared" ca="1" si="22"/>
        <v>0</v>
      </c>
      <c r="P77" s="47">
        <f t="shared" ca="1" si="23"/>
        <v>0</v>
      </c>
      <c r="Q77" s="47">
        <f ca="1">IFERROR(__xludf.DUMMYFUNCTION("IMPORTRANGE(""https://docs.google.com/spreadsheets/d/1ItG2mGa2ceCfYo0BwxsXqNm01IGEUdYcSSLTEv9YCik/edit?usp=sharing"",""เบิกจ่ายกองทุน!AS81"")"),0)</f>
        <v>0</v>
      </c>
      <c r="R77" s="47">
        <f ca="1">IFERROR(__xludf.DUMMYFUNCTION("IMPORTRANGE(""https://docs.google.com/spreadsheets/d/1ItG2mGa2ceCfYo0BwxsXqNm01IGEUdYcSSLTEv9YCik/edit?usp=sharing"",""เบิกจ่ายกองทุน!AT81"")"),0)</f>
        <v>0</v>
      </c>
      <c r="S77" s="47">
        <f ca="1">IFERROR(__xludf.DUMMYFUNCTION("IMPORTRANGE(""https://docs.google.com/spreadsheets/d/1ItG2mGa2ceCfYo0BwxsXqNm01IGEUdYcSSLTEv9YCik/edit?usp=sharing"",""เบิกจ่ายกองทุน!AU81"")"),0)</f>
        <v>0</v>
      </c>
      <c r="T77" s="47">
        <f t="shared" ca="1" si="24"/>
        <v>0</v>
      </c>
      <c r="U77" s="47">
        <f t="shared" ca="1" si="25"/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hidden="1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0</v>
      </c>
      <c r="T94" s="132">
        <f t="shared" ref="T94:T102" ca="1" si="31">IF(Q94&gt;0,S94*100/Q94,0)</f>
        <v>0</v>
      </c>
      <c r="U94" s="132">
        <f t="shared" ref="U94:U102" ca="1" si="32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84420</v>
      </c>
      <c r="R96" s="47">
        <f t="shared" ca="1" si="34"/>
        <v>84420</v>
      </c>
      <c r="S96" s="47">
        <f t="shared" ca="1" si="34"/>
        <v>0</v>
      </c>
      <c r="T96" s="47">
        <f t="shared" ca="1" si="31"/>
        <v>0</v>
      </c>
      <c r="U96" s="47">
        <f t="shared" ca="1" si="32"/>
        <v>0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84420</v>
      </c>
      <c r="R97" s="47">
        <f ca="1">R98+R99</f>
        <v>84420</v>
      </c>
      <c r="S97" s="47">
        <f ca="1">S98+S99</f>
        <v>0</v>
      </c>
      <c r="T97" s="47">
        <f t="shared" ca="1" si="31"/>
        <v>0</v>
      </c>
      <c r="U97" s="47">
        <f t="shared" ca="1" si="32"/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IFERROR(__xludf.DUMMYFUNCTION("IMPORTRANGE(""https://docs.google.com/spreadsheets/d/1-uDff_7J0KD5mKrp0Vvzr7lt3OU09vwQwhkpOPPYv2Y/edit?usp=sharing"",""งบพรบ!AW81"")"),0)</f>
        <v>0</v>
      </c>
      <c r="M99" s="47">
        <f ca="1">IFERROR(__xludf.DUMMYFUNCTION("IMPORTRANGE(""https://docs.google.com/spreadsheets/d/1-uDff_7J0KD5mKrp0Vvzr7lt3OU09vwQwhkpOPPYv2Y/edit?usp=sharing"",""งบพรบ!BB81"")"),0)</f>
        <v>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IFERROR(__xludf.DUMMYFUNCTION("IMPORTRANGE(""https://docs.google.com/spreadsheets/d/1ItG2mGa2ceCfYo0BwxsXqNm01IGEUdYcSSLTEv9YCik/edit?usp=sharing"",""เบิกจ่ายกองทุน!AE81"")"),84420)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IFERROR(__xludf.DUMMYFUNCTION("IMPORTRANGE(""https://docs.google.com/spreadsheets/d/1ItG2mGa2ceCfYo0BwxsXqNm01IGEUdYcSSLTEv9YCik/edit?usp=sharing"",""เบิกจ่ายกองทุน!AF81"")"),0)</f>
        <v>0</v>
      </c>
      <c r="T99" s="47">
        <f t="shared" ca="1" si="31"/>
        <v>0</v>
      </c>
      <c r="U99" s="47">
        <f t="shared" ca="1" si="32"/>
        <v>0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80090</v>
      </c>
      <c r="T117" s="132">
        <f t="shared" ref="T117:T125" ca="1" si="37">IF(Q117&gt;0,S117*100/Q117,0)</f>
        <v>41.831191893868173</v>
      </c>
      <c r="U117" s="132">
        <f t="shared" ref="U117:U125" ca="1" si="38">IF(R117&gt;0,S117*100/R117,0)</f>
        <v>41.831191893868173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191460</v>
      </c>
      <c r="R119" s="47">
        <f t="shared" ca="1" si="40"/>
        <v>191460</v>
      </c>
      <c r="S119" s="47">
        <f t="shared" ca="1" si="40"/>
        <v>80090</v>
      </c>
      <c r="T119" s="47">
        <f t="shared" ca="1" si="37"/>
        <v>41.831191893868173</v>
      </c>
      <c r="U119" s="47">
        <f t="shared" ca="1" si="38"/>
        <v>41.831191893868173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80090</v>
      </c>
      <c r="T120" s="47">
        <f t="shared" ca="1" si="37"/>
        <v>41.831191893868173</v>
      </c>
      <c r="U120" s="47">
        <f t="shared" ca="1" si="38"/>
        <v>41.831191893868173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IFERROR(__xludf.DUMMYFUNCTION("IMPORTRANGE(""https://docs.google.com/spreadsheets/d/1ItG2mGa2ceCfYo0BwxsXqNm01IGEUdYcSSLTEv9YCik/edit?usp=sharing"",""เบิกจ่ายกองทุน!S81"")"),191460)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IFERROR(__xludf.DUMMYFUNCTION("IMPORTRANGE(""https://docs.google.com/spreadsheets/d/1ItG2mGa2ceCfYo0BwxsXqNm01IGEUdYcSSLTEv9YCik/edit?usp=sharing"",""เบิกจ่ายกองทุน!T81"")"),80090)</f>
        <v>80090</v>
      </c>
      <c r="T122" s="47">
        <f t="shared" ca="1" si="37"/>
        <v>41.831191893868173</v>
      </c>
      <c r="U122" s="47">
        <f t="shared" ca="1" si="38"/>
        <v>41.831191893868173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0</v>
      </c>
      <c r="K127" s="47">
        <f ca="1">IF(I127&gt;0,J127*100/I127,0)</f>
        <v>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0</v>
      </c>
      <c r="K129" s="47">
        <f ca="1">IF(I129&gt;0,J129*100/I129,0)</f>
        <v>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0</v>
      </c>
      <c r="M139" s="132">
        <f ca="1">M140+M141</f>
        <v>0</v>
      </c>
      <c r="N139" s="132">
        <f ca="1">N140+N141</f>
        <v>0</v>
      </c>
      <c r="O139" s="132">
        <f t="shared" ref="O139:O147" ca="1" si="41">IF(L139&gt;0,N139*100/L139,0)</f>
        <v>0</v>
      </c>
      <c r="P139" s="132">
        <f t="shared" ref="P139:P147" ca="1" si="42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0</v>
      </c>
      <c r="M141" s="47">
        <f t="shared" ca="1" si="45"/>
        <v>0</v>
      </c>
      <c r="N141" s="47">
        <f t="shared" ca="1" si="45"/>
        <v>0</v>
      </c>
      <c r="O141" s="47">
        <f t="shared" ca="1" si="41"/>
        <v>0</v>
      </c>
      <c r="P141" s="47">
        <f t="shared" ca="1" si="42"/>
        <v>0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0</v>
      </c>
      <c r="M142" s="47">
        <f ca="1">M143+M144</f>
        <v>0</v>
      </c>
      <c r="N142" s="47">
        <f ca="1">N143+N144</f>
        <v>0</v>
      </c>
      <c r="O142" s="47">
        <f t="shared" ca="1" si="41"/>
        <v>0</v>
      </c>
      <c r="P142" s="47">
        <f t="shared" ca="1" si="42"/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t="shared" ca="1" si="41"/>
        <v>0</v>
      </c>
      <c r="P144" s="47">
        <f t="shared" ca="1" si="42"/>
        <v>0</v>
      </c>
      <c r="Q144" s="47">
        <f ca="1">IFERROR(__xludf.DUMMYFUNCTION("IMPORTRANGE(""https://docs.google.com/spreadsheets/d/1ItG2mGa2ceCfYo0BwxsXqNm01IGEUdYcSSLTEv9YCik/edit?usp=sharing"",""เบิกจ่ายกองทุน!BB81"")"),0)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IFERROR(__xludf.DUMMYFUNCTION("IMPORTRANGE(""https://docs.google.com/spreadsheets/d/1ItG2mGa2ceCfYo0BwxsXqNm01IGEUdYcSSLTEv9YCik/edit?usp=sharing"",""เบิกจ่ายกองทุน!BD81"")"),0)</f>
        <v>0</v>
      </c>
      <c r="T144" s="47">
        <f t="shared" ca="1" si="43"/>
        <v>0</v>
      </c>
      <c r="U144" s="47">
        <f t="shared" ca="1" si="44"/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hidden="1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12060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12060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12060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IFERROR(__xludf.DUMMYFUNCTION("IMPORTRANGE(""https://docs.google.com/spreadsheets/d/1-uDff_7J0KD5mKrp0Vvzr7lt3OU09vwQwhkpOPPYv2Y/edit?usp=sharing"",""งบพรบ!CF81"")"),12060)</f>
        <v>12060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IFERROR(__xludf.DUMMYFUNCTION("IMPORTRANGE(""https://docs.google.com/spreadsheets/d/1ItG2mGa2ceCfYo0BwxsXqNm01IGEUdYcSSLTEv9YCik/edit?usp=sharing"",""เบิกจ่ายกองทุน!AI81"")"),0)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IFERROR(__xludf.DUMMYFUNCTION("IMPORTRANGE(""https://docs.google.com/spreadsheets/d/1eHaY18a8A9IcSdp1K8H6x8fbOy06t2VsZHhMHf-1x7Y/edit?usp=sharing"",""แผน!Z81"")"),0)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IFERROR(__xludf.DUMMYFUNCTION("IMPORTRANGE(""https://docs.google.com/spreadsheets/d/1eHaY18a8A9IcSdp1K8H6x8fbOy06t2VsZHhMHf-1x7Y/edit?usp=sharing"",""แผน!Z81"")"),0)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19590</v>
      </c>
      <c r="M173" s="132">
        <f ca="1">M174+M175</f>
        <v>36580</v>
      </c>
      <c r="N173" s="132">
        <f ca="1">N174+N175</f>
        <v>34540</v>
      </c>
      <c r="O173" s="132">
        <f t="shared" ref="O173:O181" ca="1" si="53">IF(L173&gt;0,N173*100/L173,0)</f>
        <v>176.31444614599286</v>
      </c>
      <c r="P173" s="132">
        <f t="shared" ref="P173:P181" ca="1" si="54">IF(M173&gt;0,N173*100/M173,0)</f>
        <v>94.42318206670312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19590</v>
      </c>
      <c r="M175" s="47">
        <f t="shared" ca="1" si="57"/>
        <v>36580</v>
      </c>
      <c r="N175" s="47">
        <f t="shared" ca="1" si="57"/>
        <v>34540</v>
      </c>
      <c r="O175" s="47">
        <f t="shared" ca="1" si="53"/>
        <v>176.31444614599286</v>
      </c>
      <c r="P175" s="47">
        <f t="shared" ca="1" si="54"/>
        <v>94.42318206670312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19590</v>
      </c>
      <c r="M176" s="47">
        <f ca="1">M177+M178</f>
        <v>36580</v>
      </c>
      <c r="N176" s="47">
        <f ca="1">N177+N178</f>
        <v>34540</v>
      </c>
      <c r="O176" s="47">
        <f t="shared" ca="1" si="53"/>
        <v>176.31444614599286</v>
      </c>
      <c r="P176" s="47">
        <f t="shared" ca="1" si="54"/>
        <v>94.42318206670312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IFERROR(__xludf.DUMMYFUNCTION("IMPORTRANGE(""https://docs.google.com/spreadsheets/d/1-uDff_7J0KD5mKrp0Vvzr7lt3OU09vwQwhkpOPPYv2Y/edit?usp=sharing"",""งบพรบ!CR81"")"),34540)</f>
        <v>34540</v>
      </c>
      <c r="O178" s="47">
        <f t="shared" ca="1" si="53"/>
        <v>176.31444614599286</v>
      </c>
      <c r="P178" s="47">
        <f t="shared" ca="1" si="54"/>
        <v>94.42318206670312</v>
      </c>
      <c r="Q178" s="47">
        <f ca="1">IFERROR(__xludf.DUMMYFUNCTION("IMPORTRANGE(""https://docs.google.com/spreadsheets/d/1ItG2mGa2ceCfYo0BwxsXqNm01IGEUdYcSSLTEv9YCik/edit?usp=sharing"",""เบิกจ่ายกองทุน!BE81"")"),0)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IFERROR(__xludf.DUMMYFUNCTION("IMPORTRANGE(""https://docs.google.com/spreadsheets/d/1ItG2mGa2ceCfYo0BwxsXqNm01IGEUdYcSSLTEv9YCik/edit?usp=sharing"",""เบิกจ่ายกองทุน!BG81"")"),0)</f>
        <v>0</v>
      </c>
      <c r="T178" s="47">
        <f t="shared" ca="1" si="55"/>
        <v>0</v>
      </c>
      <c r="U178" s="47">
        <f t="shared" ca="1" si="5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121500</v>
      </c>
      <c r="M186" s="132">
        <f ca="1">M187+M188</f>
        <v>105500</v>
      </c>
      <c r="N186" s="132">
        <f ca="1">N187+N188</f>
        <v>88770.5</v>
      </c>
      <c r="O186" s="132">
        <f t="shared" ref="O186:O194" ca="1" si="59">IF(L186&gt;0,N186*100/L186,0)</f>
        <v>73.062139917695475</v>
      </c>
      <c r="P186" s="132">
        <f t="shared" ref="P186:P194" ca="1" si="60">IF(M186&gt;0,N186*100/M186,0)</f>
        <v>84.142654028436013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t="shared" ref="T186:T194" ca="1" si="61">IF(Q186&gt;0,S186*100/Q186,0)</f>
        <v>100</v>
      </c>
      <c r="U186" s="132">
        <f t="shared" ref="U186:U194" ca="1" si="62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121500</v>
      </c>
      <c r="M188" s="47">
        <f t="shared" ca="1" si="63"/>
        <v>105500</v>
      </c>
      <c r="N188" s="47">
        <f t="shared" ca="1" si="63"/>
        <v>88770.5</v>
      </c>
      <c r="O188" s="47">
        <f t="shared" ca="1" si="59"/>
        <v>73.062139917695475</v>
      </c>
      <c r="P188" s="47">
        <f t="shared" ca="1" si="60"/>
        <v>84.142654028436013</v>
      </c>
      <c r="Q188" s="47">
        <f t="shared" ca="1" si="64"/>
        <v>28000</v>
      </c>
      <c r="R188" s="47">
        <f t="shared" ca="1" si="64"/>
        <v>28000</v>
      </c>
      <c r="S188" s="47">
        <f t="shared" ca="1" si="64"/>
        <v>28000</v>
      </c>
      <c r="T188" s="47">
        <f t="shared" ca="1" si="61"/>
        <v>100</v>
      </c>
      <c r="U188" s="47">
        <f t="shared" ca="1" si="62"/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121500</v>
      </c>
      <c r="M189" s="47">
        <f ca="1">M190+M191</f>
        <v>105500</v>
      </c>
      <c r="N189" s="47">
        <f ca="1">N190+N191</f>
        <v>88770.5</v>
      </c>
      <c r="O189" s="47">
        <f t="shared" ca="1" si="59"/>
        <v>73.062139917695475</v>
      </c>
      <c r="P189" s="47">
        <f t="shared" ca="1" si="60"/>
        <v>84.142654028436013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t="shared" ca="1" si="61"/>
        <v>100</v>
      </c>
      <c r="U189" s="47">
        <f t="shared" ca="1" si="62"/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IFERROR(__xludf.DUMMYFUNCTION("IMPORTRANGE(""https://docs.google.com/spreadsheets/d/1-uDff_7J0KD5mKrp0Vvzr7lt3OU09vwQwhkpOPPYv2Y/edit?usp=sharing"",""งบพรบ!CU81"")"),121500)</f>
        <v>121500</v>
      </c>
      <c r="M191" s="47">
        <f ca="1">IFERROR(__xludf.DUMMYFUNCTION("IMPORTRANGE(""https://docs.google.com/spreadsheets/d/1-uDff_7J0KD5mKrp0Vvzr7lt3OU09vwQwhkpOPPYv2Y/edit?usp=sharing"",""งบพรบ!CZ81"")"),105500)</f>
        <v>105500</v>
      </c>
      <c r="N191" s="47">
        <f ca="1">IFERROR(__xludf.DUMMYFUNCTION("IMPORTRANGE(""https://docs.google.com/spreadsheets/d/1-uDff_7J0KD5mKrp0Vvzr7lt3OU09vwQwhkpOPPYv2Y/edit?usp=sharing"",""งบพรบ!DB81"")"),88770.5)</f>
        <v>88770.5</v>
      </c>
      <c r="O191" s="47">
        <f t="shared" ca="1" si="59"/>
        <v>73.062139917695475</v>
      </c>
      <c r="P191" s="47">
        <f t="shared" ca="1" si="60"/>
        <v>84.142654028436013</v>
      </c>
      <c r="Q191" s="47">
        <f ca="1">IFERROR(__xludf.DUMMYFUNCTION("IMPORTRANGE(""https://docs.google.com/spreadsheets/d/1ItG2mGa2ceCfYo0BwxsXqNm01IGEUdYcSSLTEv9YCik/edit?usp=sharing"",""เบิกจ่ายกองทุน!AV81"")"),28000)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IFERROR(__xludf.DUMMYFUNCTION("IMPORTRANGE(""https://docs.google.com/spreadsheets/d/1ItG2mGa2ceCfYo0BwxsXqNm01IGEUdYcSSLTEv9YCik/edit?usp=sharing"",""เบิกจ่ายกองทุน!AW81"")"),28000)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IFERROR(__xludf.DUMMYFUNCTION("IMPORTRANGE(""https://docs.google.com/spreadsheets/d/1ItG2mGa2ceCfYo0BwxsXqNm01IGEUdYcSSLTEv9YCik/edit?usp=sharing"",""เบิกจ่ายกองทุน!AX81"")"),28000)</f>
        <v>28000</v>
      </c>
      <c r="T191" s="47">
        <f t="shared" ca="1" si="61"/>
        <v>100</v>
      </c>
      <c r="U191" s="47">
        <f t="shared" ca="1" si="62"/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1</v>
      </c>
      <c r="K195" s="229">
        <f ca="1">IF(I195&gt;0,J195*100/I195,0)</f>
        <v>25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672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1</v>
      </c>
      <c r="K198" s="47">
        <f ca="1">IF(I198&gt;0,J198*100/I198,0)</f>
        <v>25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28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28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13000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28000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IFERROR(__xludf.DUMMYFUNCTION("IMPORTRANGE(""https://docs.google.com/spreadsheets/d/1eHaY18a8A9IcSdp1K8H6x8fbOy06t2VsZHhMHf-1x7Y/edit?usp=sharing"",""แผน!AH81"")"),0)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IFERROR(__xludf.DUMMYFUNCTION("IMPORTRANGE(""https://docs.google.com/spreadsheets/d/1eHaY18a8A9IcSdp1K8H6x8fbOy06t2VsZHhMHf-1x7Y/edit?usp=sharing"",""แผน!AI81"")"),0)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IFERROR(__xludf.DUMMYFUNCTION("IMPORTRANGE(""https://docs.google.com/spreadsheets/d/1eHaY18a8A9IcSdp1K8H6x8fbOy06t2VsZHhMHf-1x7Y/edit?usp=sharing"",""แผน!AM81"")"),0)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IFERROR(__xludf.DUMMYFUNCTION("IMPORTRANGE(""https://docs.google.com/spreadsheets/d/1eHaY18a8A9IcSdp1K8H6x8fbOy06t2VsZHhMHf-1x7Y/edit?usp=sharing"",""แผน!AN81"")"),0)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IFERROR(__xludf.DUMMYFUNCTION("IMPORTRANGE(""https://docs.google.com/spreadsheets/d/1eHaY18a8A9IcSdp1K8H6x8fbOy06t2VsZHhMHf-1x7Y/edit?usp=sharing"",""แผน!AO81"")"),0)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IFERROR(__xludf.DUMMYFUNCTION("IMPORTRANGE(""https://docs.google.com/spreadsheets/d/1eHaY18a8A9IcSdp1K8H6x8fbOy06t2VsZHhMHf-1x7Y/edit?usp=sharing"",""แผน!LY81"")"),0)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IFERROR(__xludf.DUMMYFUNCTION("IMPORTRANGE(""https://docs.google.com/spreadsheets/d/1eHaY18a8A9IcSdp1K8H6x8fbOy06t2VsZHhMHf-1x7Y/edit?usp=sharing"",""แผน!AR81"")"),2500)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IFERROR(__xludf.DUMMYFUNCTION("IMPORTRANGE(""https://docs.google.com/spreadsheets/d/1eHaY18a8A9IcSdp1K8H6x8fbOy06t2VsZHhMHf-1x7Y/edit?usp=sharing"",""แผน!AS81"")"),2000)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IFERROR(__xludf.DUMMYFUNCTION("IMPORTRANGE(""https://docs.google.com/spreadsheets/d/1eHaY18a8A9IcSdp1K8H6x8fbOy06t2VsZHhMHf-1x7Y/edit?usp=sharing"",""แผน!AT81"")"),0)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IFERROR(__xludf.DUMMYFUNCTION("IMPORTRANGE(""https://docs.google.com/spreadsheets/d/1eHaY18a8A9IcSdp1K8H6x8fbOy06t2VsZHhMHf-1x7Y/edit?usp=sharing"",""แผน!AX81"")"),0)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IFERROR(__xludf.DUMMYFUNCTION("IMPORTRANGE(""https://docs.google.com/spreadsheets/d/1eHaY18a8A9IcSdp1K8H6x8fbOy06t2VsZHhMHf-1x7Y/edit?usp=sharing"",""แผน!AY81"")"),0)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IFERROR(__xludf.DUMMYFUNCTION("IMPORTRANGE(""https://docs.google.com/spreadsheets/d/1eHaY18a8A9IcSdp1K8H6x8fbOy06t2VsZHhMHf-1x7Y/edit?usp=sharing"",""แผน!AZ81"")"),0)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IFERROR(__xludf.DUMMYFUNCTION("IMPORTRANGE(""https://docs.google.com/spreadsheets/d/1eHaY18a8A9IcSdp1K8H6x8fbOy06t2VsZHhMHf-1x7Y/edit?usp=sharing"",""แผน!BA81"")"),0)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IFERROR(__xludf.DUMMYFUNCTION("IMPORTRANGE(""https://docs.google.com/spreadsheets/d/1eHaY18a8A9IcSdp1K8H6x8fbOy06t2VsZHhMHf-1x7Y/edit?usp=sharing"",""แผน!BG81"")"),0)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IFERROR(__xludf.DUMMYFUNCTION("IMPORTRANGE(""https://docs.google.com/spreadsheets/d/1eHaY18a8A9IcSdp1K8H6x8fbOy06t2VsZHhMHf-1x7Y/edit?usp=sharing"",""แผน!BB81"")"),0)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IFERROR(__xludf.DUMMYFUNCTION("IMPORTRANGE(""https://docs.google.com/spreadsheets/d/1eHaY18a8A9IcSdp1K8H6x8fbOy06t2VsZHhMHf-1x7Y/edit?usp=sharing"",""แผน!BC81"")"),0)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IFERROR(__xludf.DUMMYFUNCTION("IMPORTRANGE(""https://docs.google.com/spreadsheets/d/1eHaY18a8A9IcSdp1K8H6x8fbOy06t2VsZHhMHf-1x7Y/edit?usp=sharing"",""แผน!BD81"")"),0)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IFERROR(__xludf.DUMMYFUNCTION("IMPORTRANGE(""https://docs.google.com/spreadsheets/d/1eHaY18a8A9IcSdp1K8H6x8fbOy06t2VsZHhMHf-1x7Y/edit?usp=sharing"",""แผน!BE81"")"),0)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IFERROR(__xludf.DUMMYFUNCTION("IMPORTRANGE(""https://docs.google.com/spreadsheets/d/1eHaY18a8A9IcSdp1K8H6x8fbOy06t2VsZHhMHf-1x7Y/edit?usp=sharing"",""แผน!BH81"")"),0)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35"/>
      <c r="M264" s="634"/>
      <c r="N264" s="634"/>
      <c r="O264" s="634"/>
      <c r="P264" s="634"/>
      <c r="Q264" s="634"/>
      <c r="R264" s="634"/>
      <c r="S264" s="634"/>
      <c r="T264" s="634"/>
      <c r="U264" s="634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27"/>
      <c r="M265" s="626"/>
      <c r="N265" s="626"/>
      <c r="O265" s="626"/>
      <c r="P265" s="626"/>
      <c r="Q265" s="626"/>
      <c r="R265" s="626"/>
      <c r="S265" s="626"/>
      <c r="T265" s="626"/>
      <c r="U265" s="62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625">
        <f ca="1">L267+L268</f>
        <v>0</v>
      </c>
      <c r="M266" s="624">
        <f ca="1">M267+M268</f>
        <v>5000</v>
      </c>
      <c r="N266" s="624">
        <f ca="1">N267+N268</f>
        <v>0</v>
      </c>
      <c r="O266" s="624">
        <f t="shared" ref="O266:O274" ca="1" si="65">IF(L266&gt;0,N266*100/L266,0)</f>
        <v>0</v>
      </c>
      <c r="P266" s="624">
        <f t="shared" ref="P266:P274" ca="1" si="66">IF(M266&gt;0,N266*100/M266,0)</f>
        <v>0</v>
      </c>
      <c r="Q266" s="624">
        <f ca="1">Q267+Q268</f>
        <v>50660</v>
      </c>
      <c r="R266" s="624">
        <f ca="1">R267+R268</f>
        <v>50660</v>
      </c>
      <c r="S266" s="624">
        <f ca="1">S267+S268</f>
        <v>1950</v>
      </c>
      <c r="T266" s="624">
        <f t="shared" ref="T266:T274" ca="1" si="67">IF(Q266&gt;0,S266*100/Q266,0)</f>
        <v>3.8491906829846032</v>
      </c>
      <c r="U266" s="624">
        <f t="shared" ref="U266:U274" ca="1" si="68">IF(R266&gt;0,S266*100/R266,0)</f>
        <v>3.8491906829846032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623">
        <f t="shared" ca="1" si="69"/>
        <v>0</v>
      </c>
      <c r="M268" s="482">
        <f t="shared" ca="1" si="69"/>
        <v>5000</v>
      </c>
      <c r="N268" s="482">
        <f t="shared" ca="1" si="69"/>
        <v>0</v>
      </c>
      <c r="O268" s="482">
        <f t="shared" ca="1" si="65"/>
        <v>0</v>
      </c>
      <c r="P268" s="482">
        <f t="shared" ca="1" si="66"/>
        <v>0</v>
      </c>
      <c r="Q268" s="482">
        <f t="shared" ca="1" si="70"/>
        <v>50660</v>
      </c>
      <c r="R268" s="482">
        <f t="shared" ca="1" si="70"/>
        <v>50660</v>
      </c>
      <c r="S268" s="482">
        <f t="shared" ca="1" si="70"/>
        <v>1950</v>
      </c>
      <c r="T268" s="482">
        <f t="shared" ca="1" si="67"/>
        <v>3.8491906829846032</v>
      </c>
      <c r="U268" s="482">
        <f t="shared" ca="1" si="68"/>
        <v>3.8491906829846032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623">
        <f ca="1">L270+L271</f>
        <v>0</v>
      </c>
      <c r="M269" s="482">
        <f ca="1">M270+M271</f>
        <v>5000</v>
      </c>
      <c r="N269" s="482">
        <f ca="1">N270+N271</f>
        <v>0</v>
      </c>
      <c r="O269" s="482">
        <f t="shared" ca="1" si="65"/>
        <v>0</v>
      </c>
      <c r="P269" s="482">
        <f t="shared" ca="1" si="66"/>
        <v>0</v>
      </c>
      <c r="Q269" s="482">
        <f ca="1">Q270+Q271</f>
        <v>50660</v>
      </c>
      <c r="R269" s="482">
        <f ca="1">R270+R271</f>
        <v>50660</v>
      </c>
      <c r="S269" s="482">
        <f ca="1">S270+S271</f>
        <v>1950</v>
      </c>
      <c r="T269" s="482">
        <f t="shared" ca="1" si="67"/>
        <v>3.8491906829846032</v>
      </c>
      <c r="U269" s="482">
        <f t="shared" ca="1" si="68"/>
        <v>3.8491906829846032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623">
        <f ca="1">IFERROR(__xludf.DUMMYFUNCTION("IMPORTRANGE(""https://docs.google.com/spreadsheets/d/1-uDff_7J0KD5mKrp0Vvzr7lt3OU09vwQwhkpOPPYv2Y/edit?usp=sharing"",""งบพรบ!DE81"")"),0)</f>
        <v>0</v>
      </c>
      <c r="M271" s="482">
        <f ca="1">IFERROR(__xludf.DUMMYFUNCTION("IMPORTRANGE(""https://docs.google.com/spreadsheets/d/1-uDff_7J0KD5mKrp0Vvzr7lt3OU09vwQwhkpOPPYv2Y/edit?usp=sharing"",""งบพรบ!DJ81"")"),5000)</f>
        <v>5000</v>
      </c>
      <c r="N271" s="482">
        <f ca="1">IFERROR(__xludf.DUMMYFUNCTION("IMPORTRANGE(""https://docs.google.com/spreadsheets/d/1-uDff_7J0KD5mKrp0Vvzr7lt3OU09vwQwhkpOPPYv2Y/edit?usp=sharing"",""งบพรบ!DL81"")"),0)</f>
        <v>0</v>
      </c>
      <c r="O271" s="482">
        <f t="shared" ca="1" si="65"/>
        <v>0</v>
      </c>
      <c r="P271" s="482">
        <f t="shared" ca="1" si="66"/>
        <v>0</v>
      </c>
      <c r="Q271" s="482">
        <f ca="1">IFERROR(__xludf.DUMMYFUNCTION("IMPORTRANGE(""https://docs.google.com/spreadsheets/d/1ItG2mGa2ceCfYo0BwxsXqNm01IGEUdYcSSLTEv9YCik/edit?usp=sharing"",""เบิกจ่ายกองทุน!AJ81"")"),50660)</f>
        <v>50660</v>
      </c>
      <c r="R271" s="482">
        <f ca="1">IFERROR(__xludf.DUMMYFUNCTION("IMPORTRANGE(""https://docs.google.com/spreadsheets/d/1ItG2mGa2ceCfYo0BwxsXqNm01IGEUdYcSSLTEv9YCik/edit?usp=sharing"",""เบิกจ่ายกองทุน!AK81"")"),50660)</f>
        <v>50660</v>
      </c>
      <c r="S271" s="482">
        <f ca="1">IFERROR(__xludf.DUMMYFUNCTION("IMPORTRANGE(""https://docs.google.com/spreadsheets/d/1ItG2mGa2ceCfYo0BwxsXqNm01IGEUdYcSSLTEv9YCik/edit?usp=sharing"",""เบิกจ่ายกองทุน!AL81"")"),1950)</f>
        <v>1950</v>
      </c>
      <c r="T271" s="482">
        <f t="shared" ca="1" si="67"/>
        <v>3.8491906829846032</v>
      </c>
      <c r="U271" s="482">
        <f t="shared" ca="1" si="68"/>
        <v>3.8491906829846032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623">
        <f ca="1">L273+L274</f>
        <v>0</v>
      </c>
      <c r="M272" s="482">
        <f ca="1">M273+M274</f>
        <v>0</v>
      </c>
      <c r="N272" s="482">
        <f ca="1">N273+N274</f>
        <v>0</v>
      </c>
      <c r="O272" s="482">
        <f t="shared" ca="1" si="65"/>
        <v>0</v>
      </c>
      <c r="P272" s="482">
        <f t="shared" ca="1" si="66"/>
        <v>0</v>
      </c>
      <c r="Q272" s="482">
        <f>Q273+Q274</f>
        <v>0</v>
      </c>
      <c r="R272" s="482">
        <f>R273+R274</f>
        <v>0</v>
      </c>
      <c r="S272" s="482">
        <f>S273+S274</f>
        <v>0</v>
      </c>
      <c r="T272" s="482">
        <f t="shared" si="67"/>
        <v>0</v>
      </c>
      <c r="U272" s="482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623">
        <f ca="1">IFERROR(__xludf.DUMMYFUNCTION("IMPORTRANGE(""https://docs.google.com/spreadsheets/d/1-uDff_7J0KD5mKrp0Vvzr7lt3OU09vwQwhkpOPPYv2Y/edit?usp=sharing"",""งบพรบ!DH81"")"),0)</f>
        <v>0</v>
      </c>
      <c r="M274" s="482">
        <f ca="1">IFERROR(__xludf.DUMMYFUNCTION("IMPORTRANGE(""https://docs.google.com/spreadsheets/d/1-uDff_7J0KD5mKrp0Vvzr7lt3OU09vwQwhkpOPPYv2Y/edit?usp=sharing"",""งบพรบ!DK81"")"),0)</f>
        <v>0</v>
      </c>
      <c r="N274" s="482">
        <f ca="1">IFERROR(__xludf.DUMMYFUNCTION("IMPORTRANGE(""https://docs.google.com/spreadsheets/d/1-uDff_7J0KD5mKrp0Vvzr7lt3OU09vwQwhkpOPPYv2Y/edit?usp=sharing"",""งบพรบ!DM81"")"),0)</f>
        <v>0</v>
      </c>
      <c r="O274" s="482">
        <f t="shared" ca="1" si="65"/>
        <v>0</v>
      </c>
      <c r="P274" s="482">
        <f t="shared" ca="1" si="66"/>
        <v>0</v>
      </c>
      <c r="Q274" s="482">
        <v>0</v>
      </c>
      <c r="R274" s="482">
        <v>0</v>
      </c>
      <c r="S274" s="482">
        <v>0</v>
      </c>
      <c r="T274" s="482">
        <f t="shared" si="67"/>
        <v>0</v>
      </c>
      <c r="U274" s="482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622"/>
      <c r="M275" s="533"/>
      <c r="N275" s="533"/>
      <c r="O275" s="533"/>
      <c r="P275" s="533"/>
      <c r="Q275" s="533"/>
      <c r="R275" s="533"/>
      <c r="S275" s="533"/>
      <c r="T275" s="533"/>
      <c r="U275" s="533"/>
    </row>
    <row r="276" spans="1:21" ht="18.75" x14ac:dyDescent="0.25">
      <c r="A276" s="621"/>
      <c r="B276" s="620"/>
      <c r="C276" s="620"/>
      <c r="D276" s="619" t="s">
        <v>115</v>
      </c>
      <c r="E276" s="618"/>
      <c r="F276" s="618"/>
      <c r="G276" s="617"/>
      <c r="H276" s="616" t="s">
        <v>35</v>
      </c>
      <c r="I276" s="615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614" t="s">
        <v>116</v>
      </c>
      <c r="E277" s="266"/>
      <c r="F277" s="266"/>
      <c r="G277" s="267"/>
      <c r="H277" s="613" t="s">
        <v>35</v>
      </c>
      <c r="I277" s="443">
        <v>0</v>
      </c>
      <c r="J277" s="443">
        <v>0</v>
      </c>
      <c r="K277" s="612">
        <v>0</v>
      </c>
      <c r="L277" s="611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0</v>
      </c>
      <c r="M303" s="132">
        <f ca="1">M304+M305</f>
        <v>0</v>
      </c>
      <c r="N303" s="132">
        <f ca="1">N304+N305</f>
        <v>0</v>
      </c>
      <c r="O303" s="132">
        <f t="shared" ref="O303:O311" ca="1" si="77">IF(L303&gt;0,N303*100/L303,0)</f>
        <v>0</v>
      </c>
      <c r="P303" s="132">
        <f t="shared" ref="P303:P311" ca="1" si="78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0</v>
      </c>
      <c r="T303" s="132">
        <f t="shared" ref="T303:T311" ca="1" si="79">IF(Q303&gt;0,S303*100/Q303,0)</f>
        <v>0</v>
      </c>
      <c r="U303" s="132">
        <f t="shared" ref="U303:U311" ca="1" si="80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0</v>
      </c>
      <c r="M305" s="47">
        <f t="shared" ca="1" si="81"/>
        <v>0</v>
      </c>
      <c r="N305" s="47">
        <f t="shared" ca="1" si="81"/>
        <v>0</v>
      </c>
      <c r="O305" s="47">
        <f t="shared" ca="1" si="77"/>
        <v>0</v>
      </c>
      <c r="P305" s="47">
        <f t="shared" ca="1" si="78"/>
        <v>0</v>
      </c>
      <c r="Q305" s="47">
        <f t="shared" ca="1" si="82"/>
        <v>226234.22</v>
      </c>
      <c r="R305" s="47">
        <f t="shared" ca="1" si="82"/>
        <v>226234</v>
      </c>
      <c r="S305" s="47">
        <f t="shared" ca="1" si="82"/>
        <v>0</v>
      </c>
      <c r="T305" s="47">
        <f t="shared" ca="1" si="79"/>
        <v>0</v>
      </c>
      <c r="U305" s="47">
        <f t="shared" ca="1" si="80"/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0</v>
      </c>
      <c r="M306" s="47">
        <f ca="1">M307+M308</f>
        <v>0</v>
      </c>
      <c r="N306" s="47">
        <f ca="1">N307+N308</f>
        <v>0</v>
      </c>
      <c r="O306" s="47">
        <f t="shared" ca="1" si="77"/>
        <v>0</v>
      </c>
      <c r="P306" s="47">
        <f t="shared" ca="1" si="78"/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0</v>
      </c>
      <c r="T306" s="47">
        <f t="shared" ca="1" si="79"/>
        <v>0</v>
      </c>
      <c r="U306" s="47">
        <f t="shared" ca="1" si="80"/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t="shared" ca="1" si="77"/>
        <v>0</v>
      </c>
      <c r="P308" s="47">
        <f t="shared" ca="1" si="78"/>
        <v>0</v>
      </c>
      <c r="Q308" s="47">
        <f ca="1">IFERROR(__xludf.DUMMYFUNCTION("IMPORTRANGE(""https://docs.google.com/spreadsheets/d/1ItG2mGa2ceCfYo0BwxsXqNm01IGEUdYcSSLTEv9YCik/edit?usp=sharing"",""เบิกจ่ายกองทุน!AP81"")"),226234.22)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IFERROR(__xludf.DUMMYFUNCTION("IMPORTRANGE(""https://docs.google.com/spreadsheets/d/1ItG2mGa2ceCfYo0BwxsXqNm01IGEUdYcSSLTEv9YCik/edit?usp=sharing"",""เบิกจ่ายกองทุน!AQ81"")"),226234)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IFERROR(__xludf.DUMMYFUNCTION("IMPORTRANGE(""https://docs.google.com/spreadsheets/d/1ItG2mGa2ceCfYo0BwxsXqNm01IGEUdYcSSLTEv9YCik/edit?usp=sharing"",""เบิกจ่ายกองทุน!AR81"")"),0)</f>
        <v>0</v>
      </c>
      <c r="T308" s="47">
        <f t="shared" ca="1" si="79"/>
        <v>0</v>
      </c>
      <c r="U308" s="47">
        <f t="shared" ca="1" si="80"/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540</v>
      </c>
      <c r="J332" s="596">
        <f ca="1">J344+J347+J348+J349+J353</f>
        <v>987</v>
      </c>
      <c r="K332" s="595">
        <f ca="1">IF(I332&gt;0,J332*100/I332,0)</f>
        <v>182.77777777777777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103000</v>
      </c>
      <c r="M333" s="132">
        <f ca="1">M334+M335</f>
        <v>108000</v>
      </c>
      <c r="N333" s="132">
        <f ca="1">N334+N335</f>
        <v>27658.15</v>
      </c>
      <c r="O333" s="132">
        <f t="shared" ref="O333:O341" ca="1" si="89">IF(L333&gt;0,N333*100/L333,0)</f>
        <v>26.852572815533982</v>
      </c>
      <c r="P333" s="132">
        <f t="shared" ref="P333:P341" ca="1" si="90">IF(M333&gt;0,N333*100/M333,0)</f>
        <v>25.609398148148149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103000</v>
      </c>
      <c r="M335" s="47">
        <f t="shared" ca="1" si="93"/>
        <v>108000</v>
      </c>
      <c r="N335" s="47">
        <f t="shared" ca="1" si="93"/>
        <v>27658.15</v>
      </c>
      <c r="O335" s="47">
        <f t="shared" ca="1" si="89"/>
        <v>26.852572815533982</v>
      </c>
      <c r="P335" s="47">
        <f t="shared" ca="1" si="90"/>
        <v>25.609398148148149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103000</v>
      </c>
      <c r="M336" s="47">
        <f ca="1">M337+M338</f>
        <v>108000</v>
      </c>
      <c r="N336" s="47">
        <f ca="1">N337+N338</f>
        <v>27658.15</v>
      </c>
      <c r="O336" s="47">
        <f t="shared" ca="1" si="89"/>
        <v>26.852572815533982</v>
      </c>
      <c r="P336" s="47">
        <f t="shared" ca="1" si="90"/>
        <v>25.609398148148149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IFERROR(__xludf.DUMMYFUNCTION("IMPORTRANGE(""https://docs.google.com/spreadsheets/d/1-uDff_7J0KD5mKrp0Vvzr7lt3OU09vwQwhkpOPPYv2Y/edit?usp=sharing"",""งบพรบ!ES81"")"),103000)</f>
        <v>103000</v>
      </c>
      <c r="M338" s="47">
        <f ca="1">IFERROR(__xludf.DUMMYFUNCTION("IMPORTRANGE(""https://docs.google.com/spreadsheets/d/1-uDff_7J0KD5mKrp0Vvzr7lt3OU09vwQwhkpOPPYv2Y/edit?usp=sharing"",""งบพรบ!EX81"")"),108000)</f>
        <v>108000</v>
      </c>
      <c r="N338" s="47">
        <f ca="1">IFERROR(__xludf.DUMMYFUNCTION("IMPORTRANGE(""https://docs.google.com/spreadsheets/d/1-uDff_7J0KD5mKrp0Vvzr7lt3OU09vwQwhkpOPPYv2Y/edit?usp=sharing"",""งบพรบ!EZ81"")"),27658.15)</f>
        <v>27658.15</v>
      </c>
      <c r="O338" s="47">
        <f t="shared" ca="1" si="89"/>
        <v>26.852572815533982</v>
      </c>
      <c r="P338" s="47">
        <f t="shared" ca="1" si="90"/>
        <v>25.609398148148149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585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IFERROR(__xludf.DUMMYFUNCTION("IMPORTRANGE(""https://docs.google.com/spreadsheets/d/1awYsYK3VOup2i3Pq_Yjnu8DRu_mYwSBnCR2QPthd0rU/edit?usp=sharing"",""ศูนย์ยกเว้นโฉนด!D81"")"),577)</f>
        <v>577</v>
      </c>
      <c r="K344" s="47">
        <f ca="1">IF(I344&gt;0,J344*100/I344,0)</f>
        <v>106.85185185185185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IFERROR(__xludf.DUMMYFUNCTION("IMPORTRANGE(""https://docs.google.com/spreadsheets/d/1awYsYK3VOup2i3Pq_Yjnu8DRu_mYwSBnCR2QPthd0rU/edit?usp=sharing"",""ศูนย์รวม!E81"")"),2)</f>
        <v>2</v>
      </c>
      <c r="K346" s="47">
        <f ca="1">IF(I346&gt;0,J346*100/I346,0)</f>
        <v>66.666666666666671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IFERROR(__xludf.DUMMYFUNCTION("IMPORTRANGE(""https://docs.google.com/spreadsheets/d/1awYsYK3VOup2i3Pq_Yjnu8DRu_mYwSBnCR2QPthd0rU/edit?usp=sharing"",""ศูนย์ยกเว้นโฉนด!F81"")"),8)</f>
        <v>8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851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IFERROR(__xludf.DUMMYFUNCTION("IMPORTRANGE(""https://docs.google.com/spreadsheets/d/1awYsYK3VOup2i3Pq_Yjnu8DRu_mYwSBnCR2QPthd0rU/edit?usp=sharing"",""โฉนดM3!G81"")"),449)</f>
        <v>449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IFERROR(__xludf.DUMMYFUNCTION("IMPORTRANGE(""https://docs.google.com/spreadsheets/d/1awYsYK3VOup2i3Pq_Yjnu8DRu_mYwSBnCR2QPthd0rU/edit?usp=sharing"",""โฉนดM3!H81"")"),402)</f>
        <v>402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427090</v>
      </c>
      <c r="M356" s="132">
        <f ca="1">M357+M358</f>
        <v>427090</v>
      </c>
      <c r="N356" s="132">
        <f ca="1">N357+N358</f>
        <v>244708.67</v>
      </c>
      <c r="O356" s="132">
        <f t="shared" ref="O356:O364" ca="1" si="95">IF(L356&gt;0,N356*100/L356,0)</f>
        <v>57.296745416656911</v>
      </c>
      <c r="P356" s="132">
        <f t="shared" ref="P356:P364" ca="1" si="96">IF(M356&gt;0,N356*100/M356,0)</f>
        <v>57.296745416656911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427090</v>
      </c>
      <c r="M358" s="47">
        <f t="shared" ca="1" si="99"/>
        <v>427090</v>
      </c>
      <c r="N358" s="47">
        <f t="shared" ca="1" si="99"/>
        <v>244708.67</v>
      </c>
      <c r="O358" s="47">
        <f t="shared" ca="1" si="95"/>
        <v>57.296745416656911</v>
      </c>
      <c r="P358" s="47">
        <f t="shared" ca="1" si="96"/>
        <v>57.296745416656911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427090</v>
      </c>
      <c r="M359" s="47">
        <f ca="1">M360+M361</f>
        <v>427090</v>
      </c>
      <c r="N359" s="47">
        <f ca="1">N360+N361</f>
        <v>244708.67</v>
      </c>
      <c r="O359" s="47">
        <f t="shared" ca="1" si="95"/>
        <v>57.296745416656911</v>
      </c>
      <c r="P359" s="47">
        <f t="shared" ca="1" si="96"/>
        <v>57.296745416656911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IFERROR(__xludf.DUMMYFUNCTION("IMPORTRANGE(""https://docs.google.com/spreadsheets/d/1-uDff_7J0KD5mKrp0Vvzr7lt3OU09vwQwhkpOPPYv2Y/edit?usp=sharing"",""งบพรบ!FC81"")"),427090)</f>
        <v>427090</v>
      </c>
      <c r="M361" s="47">
        <f ca="1">IFERROR(__xludf.DUMMYFUNCTION("IMPORTRANGE(""https://docs.google.com/spreadsheets/d/1-uDff_7J0KD5mKrp0Vvzr7lt3OU09vwQwhkpOPPYv2Y/edit?usp=sharing"",""งบพรบ!FH81"")"),427090)</f>
        <v>427090</v>
      </c>
      <c r="N361" s="47">
        <f ca="1">IFERROR(__xludf.DUMMYFUNCTION("IMPORTRANGE(""https://docs.google.com/spreadsheets/d/1-uDff_7J0KD5mKrp0Vvzr7lt3OU09vwQwhkpOPPYv2Y/edit?usp=sharing"",""งบพรบ!FJ81"")"),244708.67)</f>
        <v>244708.67</v>
      </c>
      <c r="O361" s="47">
        <f t="shared" ca="1" si="95"/>
        <v>57.296745416656911</v>
      </c>
      <c r="P361" s="47">
        <f t="shared" ca="1" si="96"/>
        <v>57.296745416656911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58</v>
      </c>
      <c r="J365" s="228">
        <f ca="1">J371</f>
        <v>16</v>
      </c>
      <c r="K365" s="229">
        <f ca="1">IF(I365&gt;0,J365*100/I365,0)</f>
        <v>27.586206896551722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IFERROR(__xludf.DUMMYFUNCTION("IMPORTRANGE(""https://docs.google.com/spreadsheets/d/1tdoBKaGub7dwA3U6UFTqxio9LNnvDCQjHKmttSEBsFQ/edit?usp=sharing"",""จัดที่ดิน!AB81"")"),5)</f>
        <v>5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584">
        <f ca="1">IFERROR(__xludf.DUMMYFUNCTION("IMPORTRANGE(""https://docs.google.com/spreadsheets/d/1tdoBKaGub7dwA3U6UFTqxio9LNnvDCQjHKmttSEBsFQ/edit?usp=sharing"",""จัดที่ดิน!AC81"")"),40.9199999999999)</f>
        <v>40.919999999999902</v>
      </c>
      <c r="K368" s="47">
        <f t="shared" ca="1" si="101"/>
        <v>35.582608695652084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IFERROR(__xludf.DUMMYFUNCTION("IMPORTRANGE(""https://docs.google.com/spreadsheets/d/1eHaY18a8A9IcSdp1K8H6x8fbOy06t2VsZHhMHf-1x7Y/edit?usp=sharing"",""แผน!EX81"")"),58)</f>
        <v>58</v>
      </c>
      <c r="J369" s="152">
        <f ca="1">IFERROR(__xludf.DUMMYFUNCTION("IMPORTRANGE(""https://docs.google.com/spreadsheets/d/1tdoBKaGub7dwA3U6UFTqxio9LNnvDCQjHKmttSEBsFQ/edit?usp=sharing"",""จัดที่ดิน!AD81"")"),16)</f>
        <v>16</v>
      </c>
      <c r="K369" s="47">
        <f t="shared" ca="1" si="101"/>
        <v>27.586206896551722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IFERROR(__xludf.DUMMYFUNCTION("IMPORTRANGE(""https://docs.google.com/spreadsheets/d/1tdoBKaGub7dwA3U6UFTqxio9LNnvDCQjHKmttSEBsFQ/edit?usp=sharing"",""จัดที่ดิน!AE81"")"),172.63)</f>
        <v>172.63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IFERROR(__xludf.DUMMYFUNCTION("IMPORTRANGE(""https://docs.google.com/spreadsheets/d/1eHaY18a8A9IcSdp1K8H6x8fbOy06t2VsZHhMHf-1x7Y/edit?usp=sharing"",""แผน!EY81"")"),58)</f>
        <v>58</v>
      </c>
      <c r="J371" s="152">
        <f ca="1">IFERROR(__xludf.DUMMYFUNCTION("IMPORTRANGE(""https://docs.google.com/spreadsheets/d/1tdoBKaGub7dwA3U6UFTqxio9LNnvDCQjHKmttSEBsFQ/edit?usp=sharing"",""จัดที่ดิน!AF81"")"),16)</f>
        <v>16</v>
      </c>
      <c r="K371" s="47">
        <f t="shared" ca="1" si="101"/>
        <v>27.586206896551722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IFERROR(__xludf.DUMMYFUNCTION("IMPORTRANGE(""https://docs.google.com/spreadsheets/d/1tdoBKaGub7dwA3U6UFTqxio9LNnvDCQjHKmttSEBsFQ/edit?usp=sharing"",""จัดที่ดิน!AG81"")"),172.63)</f>
        <v>172.63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I386+I388</f>
        <v>800</v>
      </c>
      <c r="J374" s="576">
        <f ca="1">J386+J388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50000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50000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50000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IFERROR(__xludf.DUMMYFUNCTION("IMPORTRANGE(""https://docs.google.com/spreadsheets/d/1ItG2mGa2ceCfYo0BwxsXqNm01IGEUdYcSSLTEv9YCik/edit?usp=sharing"",""เบิกจ่ายกองทุน!AZ81"")"),0)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IFERROR(__xludf.DUMMYFUNCTION("IMPORTRANGE(""https://docs.google.com/spreadsheets/d/1ItG2mGa2ceCfYo0BwxsXqNm01IGEUdYcSSLTEv9YCik/edit?usp=sharing"",""เบิกจ่ายกองทุน!BA81"")"),0)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526"/>
      <c r="B387" s="526"/>
      <c r="C387" s="526"/>
      <c r="D387" s="526"/>
      <c r="E387" s="574" t="s">
        <v>155</v>
      </c>
      <c r="F387" s="526"/>
      <c r="G387" s="484"/>
      <c r="H387" s="476" t="s">
        <v>34</v>
      </c>
      <c r="I387" s="483">
        <v>0</v>
      </c>
      <c r="J387" s="483">
        <f ca="1">IFERROR(__xludf.DUMMYFUNCTION("IMPORTRANGE(""https://docs.google.com/spreadsheets/d/1w5rwWK1o49a35cNtocGL0gxDwhFSTZUQu90BiH9_zqM/edit?usp=sharing"",""RTK!L81"")"),0)</f>
        <v>0</v>
      </c>
      <c r="K387" s="482">
        <f>IF(I387&gt;0,J387*100/I387,0)</f>
        <v>0</v>
      </c>
      <c r="L387" s="473"/>
      <c r="M387" s="472"/>
      <c r="N387" s="472"/>
      <c r="O387" s="472"/>
      <c r="P387" s="472"/>
      <c r="Q387" s="472"/>
      <c r="R387" s="472"/>
      <c r="S387" s="472"/>
      <c r="T387" s="472"/>
      <c r="U387" s="472"/>
    </row>
    <row r="388" spans="1:21" ht="18.75" x14ac:dyDescent="0.25">
      <c r="A388" s="526"/>
      <c r="B388" s="526"/>
      <c r="C388" s="526"/>
      <c r="D388" s="526"/>
      <c r="E388" s="526"/>
      <c r="F388" s="526"/>
      <c r="G388" s="484"/>
      <c r="H388" s="476" t="s">
        <v>46</v>
      </c>
      <c r="I388" s="483">
        <f ca="1">IFERROR(__xludf.DUMMYFUNCTION("IMPORTRANGE(""https://docs.google.com/spreadsheets/d/1w5rwWK1o49a35cNtocGL0gxDwhFSTZUQu90BiH9_zqM/edit?usp=sharing"",""RTK!K81"")"),0)</f>
        <v>0</v>
      </c>
      <c r="J388" s="483">
        <f ca="1">IFERROR(__xludf.DUMMYFUNCTION("IMPORTRANGE(""https://docs.google.com/spreadsheets/d/1w5rwWK1o49a35cNtocGL0gxDwhFSTZUQu90BiH9_zqM/edit?usp=sharing"",""RTK!M81"")"),0)</f>
        <v>0</v>
      </c>
      <c r="K388" s="482">
        <f ca="1">IF(I388&gt;0,J388*100/I388,0)</f>
        <v>0</v>
      </c>
      <c r="L388" s="473"/>
      <c r="M388" s="472"/>
      <c r="N388" s="472"/>
      <c r="O388" s="472"/>
      <c r="P388" s="472"/>
      <c r="Q388" s="472"/>
      <c r="R388" s="472"/>
      <c r="S388" s="472"/>
      <c r="T388" s="472"/>
      <c r="U388" s="47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/>
      <c r="J390" s="330"/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IFERROR(__xludf.DUMMYFUNCTION("IMPORTRANGE(""https://docs.google.com/spreadsheets/d/1ItG2mGa2ceCfYo0BwxsXqNm01IGEUdYcSSLTEv9YCik/edit?usp=sharing"",""เบิกจ่ายกองทุน!BH81"")"),0)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IFERROR(__xludf.DUMMYFUNCTION("IMPORTRANGE(""https://docs.google.com/spreadsheets/d/1ItG2mGa2ceCfYo0BwxsXqNm01IGEUdYcSSLTEv9YCik/edit?usp=sharing"",""เบิกจ่ายกองทุน!BI81"")"),0)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IFERROR(__xludf.DUMMYFUNCTION("IMPORTRANGE(""https://docs.google.com/spreadsheets/d/1ItG2mGa2ceCfYo0BwxsXqNm01IGEUdYcSSLTEv9YCik/edit?usp=sharing"",""เบิกจ่ายกองทุน!BJ81"")"),0)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IFERROR(__xludf.DUMMYFUNCTION("IMPORTRANGE(""https://docs.google.com/spreadsheets/d/1eHaY18a8A9IcSdp1K8H6x8fbOy06t2VsZHhMHf-1x7Y/edit?usp=sharing"",""แผน!HN81"")"),0)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IFERROR(__xludf.DUMMYFUNCTION("IMPORTRANGE(""https://docs.google.com/spreadsheets/d/1eHaY18a8A9IcSdp1K8H6x8fbOy06t2VsZHhMHf-1x7Y/edit?usp=sharing"",""แผน!HO81"")"),0)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IFERROR(__xludf.DUMMYFUNCTION("IMPORTRANGE(""https://docs.google.com/spreadsheets/d/1ItG2mGa2ceCfYo0BwxsXqNm01IGEUdYcSSLTEv9YCik/edit?usp=sharing"",""เบิกจ่ายกองทุน!Z81"")"),0)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hidden="1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t="shared" ref="T616:T624" ca="1" si="159">IF(Q616&gt;0,S616*100/Q616,0)</f>
        <v>8.2191780821917817</v>
      </c>
      <c r="U616" s="132">
        <f t="shared" ref="U616:U624" ca="1" si="160">IF(R616&gt;0,S616*100/R616,0)</f>
        <v>8.2191780821917817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7300</v>
      </c>
      <c r="R618" s="47">
        <f t="shared" ca="1" si="162"/>
        <v>7300</v>
      </c>
      <c r="S618" s="47">
        <f t="shared" ca="1" si="162"/>
        <v>600</v>
      </c>
      <c r="T618" s="47">
        <f t="shared" ca="1" si="159"/>
        <v>8.2191780821917817</v>
      </c>
      <c r="U618" s="47">
        <f t="shared" ca="1" si="160"/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t="shared" ca="1" si="159"/>
        <v>8.2191780821917817</v>
      </c>
      <c r="U619" s="47">
        <f t="shared" ca="1" si="160"/>
        <v>8.2191780821917817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t="shared" ca="1" si="159"/>
        <v>8.2191780821917817</v>
      </c>
      <c r="U621" s="47">
        <f t="shared" ca="1" si="160"/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hidden="1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hidden="1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t="shared" ref="T690:T698" ca="1" si="171">IF(Q690&gt;0,S690*100/Q690,0)</f>
        <v>0</v>
      </c>
      <c r="U690" s="132">
        <f t="shared" ref="U690:U698" ca="1" si="172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0</v>
      </c>
      <c r="R692" s="47">
        <f t="shared" ca="1" si="174"/>
        <v>0</v>
      </c>
      <c r="S692" s="47">
        <f t="shared" ca="1" si="174"/>
        <v>0</v>
      </c>
      <c r="T692" s="47">
        <f t="shared" ca="1" si="171"/>
        <v>0</v>
      </c>
      <c r="U692" s="47">
        <f t="shared" ca="1" si="172"/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t="shared" ca="1" si="171"/>
        <v>0</v>
      </c>
      <c r="U693" s="47">
        <f t="shared" ca="1" si="172"/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t="shared" ca="1" si="171"/>
        <v>0</v>
      </c>
      <c r="U695" s="47">
        <f t="shared" ca="1" si="172"/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hidden="1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IFERROR(__xludf.DUMMYFUNCTION("IMPORTRANGE(""https://docs.google.com/spreadsheets/d/1eHaY18a8A9IcSdp1K8H6x8fbOy06t2VsZHhMHf-1x7Y/edit?usp=sharing"",""แผน!GA81"")"),16)</f>
        <v>16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IFERROR(__xludf.DUMMYFUNCTION("IMPORTRANGE(""https://docs.google.com/spreadsheets/d/1eHaY18a8A9IcSdp1K8H6x8fbOy06t2VsZHhMHf-1x7Y/edit?usp=sharing"",""แผน!FZ81"")"),150)</f>
        <v>150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4100</v>
      </c>
      <c r="T728" s="132">
        <f t="shared" ref="T728:T736" ca="1" si="184">IF(Q728&gt;0,S728*100/Q728,0)</f>
        <v>2.8583778357199625</v>
      </c>
      <c r="U728" s="132">
        <f t="shared" ref="U728:U736" ca="1" si="185">IF(R728&gt;0,S728*100/R728,0)</f>
        <v>2.8583778357199625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143438</v>
      </c>
      <c r="R730" s="47">
        <f t="shared" ca="1" si="187"/>
        <v>143438</v>
      </c>
      <c r="S730" s="47">
        <f t="shared" ca="1" si="187"/>
        <v>4100</v>
      </c>
      <c r="T730" s="47">
        <f t="shared" ca="1" si="184"/>
        <v>2.8583778357199625</v>
      </c>
      <c r="U730" s="47">
        <f t="shared" ca="1" si="185"/>
        <v>2.8583778357199625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4100</v>
      </c>
      <c r="T731" s="47">
        <f t="shared" ca="1" si="184"/>
        <v>2.8583778357199625</v>
      </c>
      <c r="U731" s="47">
        <f t="shared" ca="1" si="185"/>
        <v>2.8583778357199625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IFERROR(__xludf.DUMMYFUNCTION("IMPORTRANGE(""https://docs.google.com/spreadsheets/d/1ItG2mGa2ceCfYo0BwxsXqNm01IGEUdYcSSLTEv9YCik/edit?usp=sharing"",""เบิกจ่ายกองทุน!Q81"")"),4100)</f>
        <v>4100</v>
      </c>
      <c r="T733" s="47">
        <f t="shared" ca="1" si="184"/>
        <v>2.8583778357199625</v>
      </c>
      <c r="U733" s="47">
        <f t="shared" ca="1" si="185"/>
        <v>2.8583778357199625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22" t="s">
        <v>271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465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IFERROR(__xludf.DUMMYFUNCTION("IMPORTRANGE(""https://docs.google.com/spreadsheets/d/1eHaY18a8A9IcSdp1K8H6x8fbOy06t2VsZHhMHf-1x7Y/edit?usp=sharing"",""แผน!GC81"")"),12)</f>
        <v>12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IFERROR(__xludf.DUMMYFUNCTION("IMPORTRANGE(""https://docs.google.com/spreadsheets/d/1eHaY18a8A9IcSdp1K8H6x8fbOy06t2VsZHhMHf-1x7Y/edit?usp=sharing"",""แผน!GD81"")"),30)</f>
        <v>30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IFERROR(__xludf.DUMMYFUNCTION("IMPORTRANGE(""https://docs.google.com/spreadsheets/d/1eHaY18a8A9IcSdp1K8H6x8fbOy06t2VsZHhMHf-1x7Y/edit?usp=sharing"",""แผน!GE81"")"),3)</f>
        <v>3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IFERROR(__xludf.DUMMYFUNCTION("IMPORTRANGE(""https://docs.google.com/spreadsheets/d/1eHaY18a8A9IcSdp1K8H6x8fbOy06t2VsZHhMHf-1x7Y/edit?usp=sharing"",""แผน!GF81"")"),1)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IFERROR(__xludf.DUMMYFUNCTION("IMPORTRANGE(""https://docs.google.com/spreadsheets/d/1eHaY18a8A9IcSdp1K8H6x8fbOy06t2VsZHhMHf-1x7Y/edit?usp=sharing"",""แผน!GB81"")"),120)</f>
        <v>120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IFERROR(__xludf.DUMMYFUNCTION("IMPORTRANGE(""https://docs.google.com/spreadsheets/d/1eHaY18a8A9IcSdp1K8H6x8fbOy06t2VsZHhMHf-1x7Y/edit?usp=sharing"",""แผน!GD81"")"),30)</f>
        <v>30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20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60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30695</v>
      </c>
      <c r="T760" s="132">
        <f t="shared" ref="T760:T768" ca="1" si="190">IF(Q760&gt;0,S760*100/Q760,0)</f>
        <v>19.105564546246733</v>
      </c>
      <c r="U760" s="132">
        <f t="shared" ref="U760:U768" ca="1" si="191">IF(R760&gt;0,S760*100/R760,0)</f>
        <v>19.105564546246733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160660</v>
      </c>
      <c r="R762" s="47">
        <f t="shared" ca="1" si="193"/>
        <v>160660</v>
      </c>
      <c r="S762" s="47">
        <f t="shared" ca="1" si="193"/>
        <v>30695</v>
      </c>
      <c r="T762" s="47">
        <f t="shared" ca="1" si="190"/>
        <v>19.105564546246733</v>
      </c>
      <c r="U762" s="47">
        <f t="shared" ca="1" si="191"/>
        <v>19.105564546246733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30695</v>
      </c>
      <c r="T763" s="47">
        <f t="shared" ca="1" si="190"/>
        <v>19.105564546246733</v>
      </c>
      <c r="U763" s="47">
        <f t="shared" ca="1" si="191"/>
        <v>19.105564546246733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IFERROR(__xludf.DUMMYFUNCTION("IMPORTRANGE(""https://docs.google.com/spreadsheets/d/1ItG2mGa2ceCfYo0BwxsXqNm01IGEUdYcSSLTEv9YCik/edit?usp=sharing"",""เบิกจ่ายกองทุน!V81"")"),160660)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IFERROR(__xludf.DUMMYFUNCTION("IMPORTRANGE(""https://docs.google.com/spreadsheets/d/1ItG2mGa2ceCfYo0BwxsXqNm01IGEUdYcSSLTEv9YCik/edit?usp=sharing"",""เบิกจ่ายกองทุน!W81"")"),30695)</f>
        <v>30695</v>
      </c>
      <c r="T765" s="47">
        <f t="shared" ca="1" si="190"/>
        <v>19.105564546246733</v>
      </c>
      <c r="U765" s="47">
        <f t="shared" ca="1" si="191"/>
        <v>19.105564546246733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IFERROR(__xludf.DUMMYFUNCTION("IMPORTRANGE(""https://docs.google.com/spreadsheets/d/1eHaY18a8A9IcSdp1K8H6x8fbOy06t2VsZHhMHf-1x7Y/edit?usp=sharing"",""แผน!FI81"")"),0)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IFERROR(__xludf.DUMMYFUNCTION("IMPORTRANGE(""https://docs.google.com/spreadsheets/d/10OvvATaaLtwErnr3qtWFcTmtbfpFEt5Bsqel9sXx0uE/edit?usp=sharing"",""งานกองทุน!D81"")"),826714.82)</f>
        <v>826714.82</v>
      </c>
      <c r="J778" s="152">
        <f ca="1">IFERROR(__xludf.DUMMYFUNCTION("IMPORTRANGE(""https://docs.google.com/spreadsheets/d/10OvvATaaLtwErnr3qtWFcTmtbfpFEt5Bsqel9sXx0uE/edit?usp=sharing"",""งานกองทุน!F81"")"),453945.85)</f>
        <v>453945.85</v>
      </c>
      <c r="K778" s="47">
        <f t="shared" ref="K778:K785" ca="1" si="194">IF(I778&gt;0,J778*100/I778,0)</f>
        <v>54.909605950937234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IFERROR(__xludf.DUMMYFUNCTION("IMPORTRANGE(""https://docs.google.com/spreadsheets/d/10OvvATaaLtwErnr3qtWFcTmtbfpFEt5Bsqel9sXx0uE/edit?usp=sharing"",""งานกองทุน!C81"")"),63)</f>
        <v>63</v>
      </c>
      <c r="J779" s="152">
        <f ca="1">IFERROR(__xludf.DUMMYFUNCTION("IMPORTRANGE(""https://docs.google.com/spreadsheets/d/10OvvATaaLtwErnr3qtWFcTmtbfpFEt5Bsqel9sXx0uE/edit?usp=sharing"",""งานกองทุน!E81"")"),38)</f>
        <v>38</v>
      </c>
      <c r="K779" s="47">
        <f t="shared" ca="1" si="194"/>
        <v>60.317460317460316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IFERROR(__xludf.DUMMYFUNCTION("IMPORTRANGE(""https://docs.google.com/spreadsheets/d/10OvvATaaLtwErnr3qtWFcTmtbfpFEt5Bsqel9sXx0uE/edit?usp=sharing"",""งานกองทุน!K81"")"),5163.75)</f>
        <v>5163.75</v>
      </c>
      <c r="K780" s="47">
        <f t="shared" ca="1" si="194"/>
        <v>2.133880102530382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t="shared" ca="1" si="194"/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IFERROR(__xludf.DUMMYFUNCTION("IMPORTRANGE(""https://docs.google.com/spreadsheets/d/10OvvATaaLtwErnr3qtWFcTmtbfpFEt5Bsqel9sXx0uE/edit?usp=sharing"",""งานกองทุน!P81"")"),3754.5)</f>
        <v>3754.5</v>
      </c>
      <c r="K782" s="47">
        <f t="shared" ca="1" si="194"/>
        <v>11.70205073413265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IFERROR(__xludf.DUMMYFUNCTION("IMPORTRANGE(""https://docs.google.com/spreadsheets/d/10OvvATaaLtwErnr3qtWFcTmtbfpFEt5Bsqel9sXx0uE/edit?usp=sharing"",""งานกองทุน!O81"")"),8)</f>
        <v>8</v>
      </c>
      <c r="K783" s="47">
        <f t="shared" ca="1" si="194"/>
        <v>15.686274509803921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t="shared" ca="1" si="194"/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t="shared" ca="1" si="194"/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E28FC-7D44-4EAA-9D26-9C5B9A7C5774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G23" sqref="G23"/>
      <selection pane="topRight" activeCell="G23" sqref="G23"/>
      <selection pane="bottomLeft" activeCell="G23" sqref="G23"/>
      <selection pane="bottomRight" activeCell="G23" sqref="G23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782" t="s">
        <v>0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</row>
    <row r="2" spans="1:21" ht="19.5" customHeight="1" x14ac:dyDescent="0.3">
      <c r="A2" s="782" t="s">
        <v>320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9.5" customHeight="1" x14ac:dyDescent="0.3">
      <c r="A3" s="782" t="s">
        <v>327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3"/>
      <c r="K4" s="714"/>
      <c r="L4" s="783" t="s">
        <v>2</v>
      </c>
      <c r="M4" s="760"/>
      <c r="N4" s="760"/>
      <c r="O4" s="760"/>
      <c r="P4" s="761"/>
      <c r="Q4" s="784" t="s">
        <v>3</v>
      </c>
      <c r="R4" s="760"/>
      <c r="S4" s="760"/>
      <c r="T4" s="760"/>
      <c r="U4" s="761"/>
    </row>
    <row r="5" spans="1:21" ht="19.5" x14ac:dyDescent="0.3">
      <c r="A5" s="785" t="s">
        <v>4</v>
      </c>
      <c r="B5" s="764"/>
      <c r="C5" s="764"/>
      <c r="D5" s="764"/>
      <c r="E5" s="764"/>
      <c r="F5" s="764"/>
      <c r="G5" s="775"/>
      <c r="H5" s="713" t="s">
        <v>5</v>
      </c>
      <c r="I5" s="769" t="s">
        <v>6</v>
      </c>
      <c r="J5" s="760"/>
      <c r="K5" s="761"/>
      <c r="L5" s="790" t="s">
        <v>7</v>
      </c>
      <c r="M5" s="761"/>
      <c r="N5" s="759" t="s">
        <v>8</v>
      </c>
      <c r="O5" s="760"/>
      <c r="P5" s="761"/>
      <c r="Q5" s="762" t="s">
        <v>7</v>
      </c>
      <c r="R5" s="761"/>
      <c r="S5" s="759" t="s">
        <v>8</v>
      </c>
      <c r="T5" s="760"/>
      <c r="U5" s="761"/>
    </row>
    <row r="6" spans="1:21" ht="19.5" x14ac:dyDescent="0.3">
      <c r="A6" s="776"/>
      <c r="B6" s="760"/>
      <c r="C6" s="760"/>
      <c r="D6" s="760"/>
      <c r="E6" s="760"/>
      <c r="F6" s="760"/>
      <c r="G6" s="761"/>
      <c r="H6" s="712"/>
      <c r="I6" s="7" t="s">
        <v>9</v>
      </c>
      <c r="J6" s="8" t="s">
        <v>10</v>
      </c>
      <c r="K6" s="7" t="s">
        <v>11</v>
      </c>
      <c r="L6" s="711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786"/>
      <c r="B7" s="760"/>
      <c r="C7" s="760"/>
      <c r="D7" s="760"/>
      <c r="E7" s="760"/>
      <c r="F7" s="760"/>
      <c r="G7" s="761"/>
      <c r="H7" s="15"/>
      <c r="I7" s="16"/>
      <c r="J7" s="16"/>
      <c r="K7" s="17"/>
      <c r="L7" s="608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99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99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99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99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99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99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99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99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608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778" t="s">
        <v>310</v>
      </c>
      <c r="B17" s="760"/>
      <c r="C17" s="760"/>
      <c r="D17" s="760"/>
      <c r="E17" s="760"/>
      <c r="F17" s="760"/>
      <c r="G17" s="761"/>
      <c r="H17" s="24"/>
      <c r="I17" s="25"/>
      <c r="J17" s="25"/>
      <c r="K17" s="26"/>
      <c r="L17" s="710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709">
        <f ca="1">L19+L20</f>
        <v>1815235</v>
      </c>
      <c r="M18" s="35">
        <f ca="1">M19+M20</f>
        <v>1837535</v>
      </c>
      <c r="N18" s="35">
        <f ca="1">N19+N20</f>
        <v>1341601.03</v>
      </c>
      <c r="O18" s="35">
        <f t="shared" ref="O18:O26" ca="1" si="0">IF(L18&gt;0,N18*100/L18,0)</f>
        <v>73.907842786195729</v>
      </c>
      <c r="P18" s="35">
        <f t="shared" ref="P18:P26" ca="1" si="1">IF(M18&gt;0,N18*100/M18,0)</f>
        <v>73.010910268375838</v>
      </c>
      <c r="Q18" s="35">
        <f ca="1">Q19+Q20</f>
        <v>4820192.24</v>
      </c>
      <c r="R18" s="35">
        <f ca="1">R19+R20</f>
        <v>4820192</v>
      </c>
      <c r="S18" s="35">
        <f ca="1">S19+S20</f>
        <v>331963.82999999996</v>
      </c>
      <c r="T18" s="35">
        <f t="shared" ref="T18:T26" ca="1" si="2">IF(Q18&gt;0,S18*100/Q18,0)</f>
        <v>6.8869417125155978</v>
      </c>
      <c r="U18" s="35">
        <f t="shared" ref="U18:U26" ca="1" si="3">IF(R18&gt;0,S18*100/R18,0)</f>
        <v>6.8869420554201985</v>
      </c>
    </row>
    <row r="19" spans="1:21" ht="18.75" hidden="1" x14ac:dyDescent="0.25">
      <c r="A19" s="27"/>
      <c r="B19" s="28"/>
      <c r="C19" s="28"/>
      <c r="D19" s="28"/>
      <c r="E19" s="708" t="s">
        <v>20</v>
      </c>
      <c r="F19" s="28"/>
      <c r="G19" s="31"/>
      <c r="H19" s="707" t="s">
        <v>14</v>
      </c>
      <c r="I19" s="33"/>
      <c r="J19" s="33"/>
      <c r="K19" s="34"/>
      <c r="L19" s="706">
        <f t="shared" ref="L19:N20" si="4">L22+L25</f>
        <v>0</v>
      </c>
      <c r="M19" s="38">
        <f t="shared" si="4"/>
        <v>0</v>
      </c>
      <c r="N19" s="38">
        <f t="shared" si="4"/>
        <v>0</v>
      </c>
      <c r="O19" s="38">
        <f t="shared" si="0"/>
        <v>0</v>
      </c>
      <c r="P19" s="38">
        <f t="shared" si="1"/>
        <v>0</v>
      </c>
      <c r="Q19" s="38">
        <f t="shared" ref="Q19:S20" si="5">Q22+Q25</f>
        <v>0</v>
      </c>
      <c r="R19" s="38">
        <f t="shared" si="5"/>
        <v>0</v>
      </c>
      <c r="S19" s="38">
        <f t="shared" si="5"/>
        <v>0</v>
      </c>
      <c r="T19" s="38">
        <f t="shared" si="2"/>
        <v>0</v>
      </c>
      <c r="U19" s="38">
        <f t="shared" si="3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705">
        <f t="shared" ca="1" si="4"/>
        <v>1815235</v>
      </c>
      <c r="M20" s="39">
        <f t="shared" ca="1" si="4"/>
        <v>1837535</v>
      </c>
      <c r="N20" s="39">
        <f t="shared" ca="1" si="4"/>
        <v>1341601.03</v>
      </c>
      <c r="O20" s="39">
        <f t="shared" ca="1" si="0"/>
        <v>73.907842786195729</v>
      </c>
      <c r="P20" s="39">
        <f t="shared" ca="1" si="1"/>
        <v>73.010910268375838</v>
      </c>
      <c r="Q20" s="39">
        <f t="shared" ca="1" si="5"/>
        <v>4820192.24</v>
      </c>
      <c r="R20" s="39">
        <f t="shared" ca="1" si="5"/>
        <v>4820192</v>
      </c>
      <c r="S20" s="39">
        <f t="shared" ca="1" si="5"/>
        <v>331963.82999999996</v>
      </c>
      <c r="T20" s="39">
        <f t="shared" ca="1" si="2"/>
        <v>6.8869417125155978</v>
      </c>
      <c r="U20" s="39">
        <f t="shared" ca="1" si="3"/>
        <v>6.8869420554201985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67">
        <f ca="1">L22+L23</f>
        <v>1815235</v>
      </c>
      <c r="M21" s="47">
        <f ca="1">M22+M23</f>
        <v>1837535</v>
      </c>
      <c r="N21" s="47">
        <f ca="1">N22+N23</f>
        <v>1341601.03</v>
      </c>
      <c r="O21" s="47">
        <f t="shared" ca="1" si="0"/>
        <v>73.907842786195729</v>
      </c>
      <c r="P21" s="47">
        <f t="shared" ca="1" si="1"/>
        <v>73.010910268375838</v>
      </c>
      <c r="Q21" s="47">
        <f ca="1">Q22+Q23</f>
        <v>4820192.24</v>
      </c>
      <c r="R21" s="47">
        <f ca="1">R22+R23</f>
        <v>4820192</v>
      </c>
      <c r="S21" s="47">
        <f ca="1">S22+S23</f>
        <v>331963.82999999996</v>
      </c>
      <c r="T21" s="47">
        <f t="shared" ca="1" si="2"/>
        <v>6.8869417125155978</v>
      </c>
      <c r="U21" s="47">
        <f t="shared" ca="1" si="3"/>
        <v>6.8869420554201985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687" t="s">
        <v>14</v>
      </c>
      <c r="I22" s="45"/>
      <c r="J22" s="45"/>
      <c r="K22" s="46"/>
      <c r="L22" s="468">
        <f t="shared" ref="L22:N23" si="6">L48+L63+L76+L98+L129+L143+L161+L190+L177+L270+L286+L307+L324+L337+L360+L517</f>
        <v>0</v>
      </c>
      <c r="M22" s="49">
        <f t="shared" si="6"/>
        <v>0</v>
      </c>
      <c r="N22" s="49">
        <f t="shared" si="6"/>
        <v>0</v>
      </c>
      <c r="O22" s="49">
        <f t="shared" si="0"/>
        <v>0</v>
      </c>
      <c r="P22" s="49">
        <f t="shared" si="1"/>
        <v>0</v>
      </c>
      <c r="Q22" s="49">
        <f t="shared" ref="Q22:S23" si="7">Q76+Q98+Q121+Q143+Q161+Q177+Q190+Q270+Q286+Q307+Q337+Q379+Q396+Q417+Q497+Q603+Q620+Q646+Q694+Q718+Q732+Q764</f>
        <v>0</v>
      </c>
      <c r="R22" s="49">
        <f t="shared" si="7"/>
        <v>0</v>
      </c>
      <c r="S22" s="49">
        <f t="shared" si="7"/>
        <v>0</v>
      </c>
      <c r="T22" s="49">
        <f t="shared" si="2"/>
        <v>0</v>
      </c>
      <c r="U22" s="49">
        <f t="shared" si="3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67">
        <f t="shared" ca="1" si="6"/>
        <v>1815235</v>
      </c>
      <c r="M23" s="47">
        <f t="shared" ca="1" si="6"/>
        <v>1837535</v>
      </c>
      <c r="N23" s="47">
        <f t="shared" ca="1" si="6"/>
        <v>1341601.03</v>
      </c>
      <c r="O23" s="47">
        <f t="shared" ca="1" si="0"/>
        <v>73.907842786195729</v>
      </c>
      <c r="P23" s="47">
        <f t="shared" ca="1" si="1"/>
        <v>73.010910268375838</v>
      </c>
      <c r="Q23" s="47">
        <f t="shared" ca="1" si="7"/>
        <v>4820192.24</v>
      </c>
      <c r="R23" s="47">
        <f t="shared" ca="1" si="7"/>
        <v>4820192</v>
      </c>
      <c r="S23" s="47">
        <f t="shared" ca="1" si="7"/>
        <v>331963.82999999996</v>
      </c>
      <c r="T23" s="47">
        <f t="shared" ca="1" si="2"/>
        <v>6.8869417125155978</v>
      </c>
      <c r="U23" s="47">
        <f t="shared" ca="1" si="3"/>
        <v>6.8869420554201985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67">
        <f ca="1">L25+L26</f>
        <v>0</v>
      </c>
      <c r="M24" s="47">
        <f ca="1">M25+M26</f>
        <v>0</v>
      </c>
      <c r="N24" s="47">
        <f ca="1">N25+N26</f>
        <v>0</v>
      </c>
      <c r="O24" s="47">
        <f t="shared" ca="1" si="0"/>
        <v>0</v>
      </c>
      <c r="P24" s="47">
        <f t="shared" ca="1" si="1"/>
        <v>0</v>
      </c>
      <c r="Q24" s="47">
        <f>Q25+Q26</f>
        <v>0</v>
      </c>
      <c r="R24" s="47">
        <f>R25+R26</f>
        <v>0</v>
      </c>
      <c r="S24" s="47">
        <f>S25+S26</f>
        <v>0</v>
      </c>
      <c r="T24" s="47">
        <f t="shared" si="2"/>
        <v>0</v>
      </c>
      <c r="U24" s="47">
        <f t="shared" si="3"/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687" t="s">
        <v>14</v>
      </c>
      <c r="I25" s="45"/>
      <c r="J25" s="45"/>
      <c r="K25" s="46"/>
      <c r="L25" s="468">
        <f t="shared" ref="L25:N26" si="8">L51+L66+L79+L101+L132+L146+L164+L193+L180+L273+L289+L310+L327+L340+L363+L520</f>
        <v>0</v>
      </c>
      <c r="M25" s="49">
        <f t="shared" si="8"/>
        <v>0</v>
      </c>
      <c r="N25" s="49">
        <f t="shared" si="8"/>
        <v>0</v>
      </c>
      <c r="O25" s="49">
        <f t="shared" si="0"/>
        <v>0</v>
      </c>
      <c r="P25" s="49">
        <f t="shared" si="1"/>
        <v>0</v>
      </c>
      <c r="Q25" s="49">
        <f t="shared" ref="Q25:S26" si="9">Q79+Q101+Q124+Q146+Q164+Q180+Q193+Q273+Q289+Q310+Q340+Q382+Q399+Q420+Q500+Q606+Q623+Q649+Q697+Q721+Q735+Q767</f>
        <v>0</v>
      </c>
      <c r="R25" s="49">
        <f t="shared" si="9"/>
        <v>0</v>
      </c>
      <c r="S25" s="49">
        <f t="shared" si="9"/>
        <v>0</v>
      </c>
      <c r="T25" s="49">
        <f t="shared" si="2"/>
        <v>0</v>
      </c>
      <c r="U25" s="49">
        <f t="shared" si="3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67">
        <f t="shared" ca="1" si="8"/>
        <v>0</v>
      </c>
      <c r="M26" s="47">
        <f t="shared" ca="1" si="8"/>
        <v>0</v>
      </c>
      <c r="N26" s="47">
        <f t="shared" ca="1" si="8"/>
        <v>0</v>
      </c>
      <c r="O26" s="47">
        <f t="shared" ca="1" si="0"/>
        <v>0</v>
      </c>
      <c r="P26" s="47">
        <f t="shared" ca="1" si="1"/>
        <v>0</v>
      </c>
      <c r="Q26" s="49">
        <f t="shared" si="9"/>
        <v>0</v>
      </c>
      <c r="R26" s="49">
        <f t="shared" si="9"/>
        <v>0</v>
      </c>
      <c r="S26" s="49">
        <f t="shared" si="9"/>
        <v>0</v>
      </c>
      <c r="T26" s="47">
        <f t="shared" si="2"/>
        <v>0</v>
      </c>
      <c r="U26" s="47">
        <f t="shared" si="3"/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465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687" t="s">
        <v>14</v>
      </c>
      <c r="I28" s="45"/>
      <c r="J28" s="45"/>
      <c r="K28" s="46"/>
      <c r="L28" s="465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6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786"/>
      <c r="B30" s="760"/>
      <c r="C30" s="760"/>
      <c r="D30" s="760"/>
      <c r="E30" s="760"/>
      <c r="F30" s="760"/>
      <c r="G30" s="761"/>
      <c r="H30" s="15"/>
      <c r="I30" s="16"/>
      <c r="J30" s="16"/>
      <c r="K30" s="17"/>
      <c r="L30" s="608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99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99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99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99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99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99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99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99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608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704">
        <f ca="1">L44+L59+L72+L94+L125+L139+L157+L173+L186+L266+L282+L303+L320+L333+L356</f>
        <v>1815235</v>
      </c>
      <c r="M40" s="703">
        <f ca="1">M44+M59+M72+M94+M125+M139+M157+M173+M186+M266+M282+M303+M320+M333+M356</f>
        <v>1837535</v>
      </c>
      <c r="N40" s="703">
        <f ca="1">N44+N59+N72+N94+N125+N139+N157+N173+N186+N266+N282+N303+N320+N333+N356</f>
        <v>1341601.03</v>
      </c>
      <c r="O40" s="703">
        <f ca="1">IF(L40&gt;0,N40*100/L40,0)</f>
        <v>73.907842786195729</v>
      </c>
      <c r="P40" s="703">
        <f ca="1">IF(M40&gt;0,N40*100/M40,0)</f>
        <v>73.010910268375838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2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99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01" t="s">
        <v>19</v>
      </c>
      <c r="E44" s="72"/>
      <c r="F44" s="72"/>
      <c r="G44" s="75"/>
      <c r="H44" s="76" t="s">
        <v>14</v>
      </c>
      <c r="I44" s="77"/>
      <c r="J44" s="77"/>
      <c r="K44" s="78"/>
      <c r="L44" s="700">
        <f ca="1">L45+L46</f>
        <v>376600</v>
      </c>
      <c r="M44" s="79">
        <f ca="1">M45+M46</f>
        <v>384580</v>
      </c>
      <c r="N44" s="79">
        <f ca="1">N45+N46</f>
        <v>312980</v>
      </c>
      <c r="O44" s="79">
        <f t="shared" ref="O44:O52" ca="1" si="10">IF(L44&gt;0,N44*100/L44,0)</f>
        <v>83.106744556558681</v>
      </c>
      <c r="P44" s="79">
        <f t="shared" ref="P44:P52" ca="1" si="11">IF(M44&gt;0,N44*100/M44,0)</f>
        <v>81.382287170419673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 t="shared" ref="T44:T52" si="12">IF(Q44&gt;0,S44*100/Q44,0)</f>
        <v>0</v>
      </c>
      <c r="U44" s="79">
        <f t="shared" ref="U44:U52" si="13">IF(R44&gt;0,S44*100/R44,0)</f>
        <v>0</v>
      </c>
    </row>
    <row r="45" spans="1:21" ht="18.75" hidden="1" x14ac:dyDescent="0.25">
      <c r="A45" s="71"/>
      <c r="B45" s="72"/>
      <c r="C45" s="72"/>
      <c r="D45" s="72"/>
      <c r="E45" s="699" t="s">
        <v>20</v>
      </c>
      <c r="F45" s="72"/>
      <c r="G45" s="75"/>
      <c r="H45" s="698" t="s">
        <v>14</v>
      </c>
      <c r="I45" s="77"/>
      <c r="J45" s="77"/>
      <c r="K45" s="78"/>
      <c r="L45" s="697">
        <f t="shared" ref="L45:N46" si="14">L48+L51</f>
        <v>0</v>
      </c>
      <c r="M45" s="82">
        <f t="shared" si="14"/>
        <v>0</v>
      </c>
      <c r="N45" s="82">
        <f t="shared" si="14"/>
        <v>0</v>
      </c>
      <c r="O45" s="82">
        <f t="shared" si="10"/>
        <v>0</v>
      </c>
      <c r="P45" s="82">
        <f t="shared" si="11"/>
        <v>0</v>
      </c>
      <c r="Q45" s="82">
        <f t="shared" ref="Q45:S46" si="15">Q48+Q51</f>
        <v>0</v>
      </c>
      <c r="R45" s="82">
        <f t="shared" si="15"/>
        <v>0</v>
      </c>
      <c r="S45" s="82">
        <f t="shared" si="15"/>
        <v>0</v>
      </c>
      <c r="T45" s="82">
        <f t="shared" si="12"/>
        <v>0</v>
      </c>
      <c r="U45" s="82">
        <f t="shared" si="1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96">
        <f t="shared" ca="1" si="14"/>
        <v>376600</v>
      </c>
      <c r="M46" s="83">
        <f t="shared" ca="1" si="14"/>
        <v>384580</v>
      </c>
      <c r="N46" s="83">
        <f t="shared" ca="1" si="14"/>
        <v>312980</v>
      </c>
      <c r="O46" s="83">
        <f t="shared" ca="1" si="10"/>
        <v>83.106744556558681</v>
      </c>
      <c r="P46" s="83">
        <f t="shared" ca="1" si="11"/>
        <v>81.382287170419673</v>
      </c>
      <c r="Q46" s="83">
        <f t="shared" si="15"/>
        <v>0</v>
      </c>
      <c r="R46" s="83">
        <f t="shared" si="15"/>
        <v>0</v>
      </c>
      <c r="S46" s="83">
        <f t="shared" si="15"/>
        <v>0</v>
      </c>
      <c r="T46" s="83">
        <f t="shared" si="12"/>
        <v>0</v>
      </c>
      <c r="U46" s="83">
        <f t="shared" si="13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67">
        <f ca="1">L48+L49</f>
        <v>376600</v>
      </c>
      <c r="M47" s="47">
        <f ca="1">M48+M49</f>
        <v>384580</v>
      </c>
      <c r="N47" s="47">
        <f ca="1">N48+N49</f>
        <v>312980</v>
      </c>
      <c r="O47" s="47">
        <f t="shared" ca="1" si="10"/>
        <v>83.106744556558681</v>
      </c>
      <c r="P47" s="47">
        <f t="shared" ca="1" si="11"/>
        <v>81.382287170419673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 t="shared" si="12"/>
        <v>0</v>
      </c>
      <c r="U47" s="47">
        <f t="shared" si="13"/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687" t="s">
        <v>14</v>
      </c>
      <c r="I48" s="45"/>
      <c r="J48" s="45"/>
      <c r="K48" s="46"/>
      <c r="L48" s="468">
        <v>0</v>
      </c>
      <c r="M48" s="49">
        <v>0</v>
      </c>
      <c r="N48" s="49">
        <v>0</v>
      </c>
      <c r="O48" s="49">
        <f t="shared" si="10"/>
        <v>0</v>
      </c>
      <c r="P48" s="49">
        <f t="shared" si="11"/>
        <v>0</v>
      </c>
      <c r="Q48" s="49">
        <v>0</v>
      </c>
      <c r="R48" s="49">
        <v>0</v>
      </c>
      <c r="S48" s="49">
        <v>0</v>
      </c>
      <c r="T48" s="49">
        <f t="shared" si="12"/>
        <v>0</v>
      </c>
      <c r="U48" s="49">
        <f t="shared" si="13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67">
        <f ca="1">IFERROR(__xludf.DUMMYFUNCTION("IMPORTRANGE(""https://docs.google.com/spreadsheets/d/1-uDff_7J0KD5mKrp0Vvzr7lt3OU09vwQwhkpOPPYv2Y/edit?usp=sharing"",""งบพรบ!P82"")"),376600)</f>
        <v>376600</v>
      </c>
      <c r="M49" s="47">
        <f ca="1">IFERROR(__xludf.DUMMYFUNCTION("IMPORTRANGE(""https://docs.google.com/spreadsheets/d/1-uDff_7J0KD5mKrp0Vvzr7lt3OU09vwQwhkpOPPYv2Y/edit?usp=sharing"",""งบพรบ!V82"")"),384580)</f>
        <v>384580</v>
      </c>
      <c r="N49" s="47">
        <f ca="1">IFERROR(__xludf.DUMMYFUNCTION("IMPORTRANGE(""https://docs.google.com/spreadsheets/d/1-uDff_7J0KD5mKrp0Vvzr7lt3OU09vwQwhkpOPPYv2Y/edit?usp=sharing"",""งบพรบ!Y82"")"),312980)</f>
        <v>312980</v>
      </c>
      <c r="O49" s="47">
        <f t="shared" ca="1" si="10"/>
        <v>83.106744556558681</v>
      </c>
      <c r="P49" s="47">
        <f t="shared" ca="1" si="11"/>
        <v>81.382287170419673</v>
      </c>
      <c r="Q49" s="47">
        <v>0</v>
      </c>
      <c r="R49" s="47">
        <v>0</v>
      </c>
      <c r="S49" s="47">
        <v>0</v>
      </c>
      <c r="T49" s="47">
        <f t="shared" si="12"/>
        <v>0</v>
      </c>
      <c r="U49" s="47">
        <f t="shared" si="13"/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467">
        <f ca="1">L51+L52</f>
        <v>0</v>
      </c>
      <c r="M50" s="47">
        <f ca="1">M51+M52</f>
        <v>0</v>
      </c>
      <c r="N50" s="47">
        <f ca="1">N51+N52</f>
        <v>0</v>
      </c>
      <c r="O50" s="47">
        <f t="shared" ca="1" si="10"/>
        <v>0</v>
      </c>
      <c r="P50" s="47">
        <f t="shared" ca="1" si="11"/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 t="shared" si="12"/>
        <v>0</v>
      </c>
      <c r="U50" s="47">
        <f t="shared" si="13"/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687" t="s">
        <v>14</v>
      </c>
      <c r="I51" s="45"/>
      <c r="J51" s="45"/>
      <c r="K51" s="46"/>
      <c r="L51" s="468">
        <v>0</v>
      </c>
      <c r="M51" s="49">
        <v>0</v>
      </c>
      <c r="N51" s="49">
        <v>0</v>
      </c>
      <c r="O51" s="49">
        <f t="shared" si="10"/>
        <v>0</v>
      </c>
      <c r="P51" s="49">
        <f t="shared" si="11"/>
        <v>0</v>
      </c>
      <c r="Q51" s="49">
        <v>0</v>
      </c>
      <c r="R51" s="49">
        <v>0</v>
      </c>
      <c r="S51" s="49">
        <v>0</v>
      </c>
      <c r="T51" s="49">
        <f t="shared" si="12"/>
        <v>0</v>
      </c>
      <c r="U51" s="49">
        <f t="shared" si="13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67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t="shared" ca="1" si="10"/>
        <v>0</v>
      </c>
      <c r="P52" s="47">
        <f t="shared" ca="1" si="11"/>
        <v>0</v>
      </c>
      <c r="Q52" s="47">
        <v>0</v>
      </c>
      <c r="R52" s="47">
        <v>0</v>
      </c>
      <c r="S52" s="47">
        <v>0</v>
      </c>
      <c r="T52" s="47">
        <f t="shared" si="12"/>
        <v>0</v>
      </c>
      <c r="U52" s="47">
        <f t="shared" si="13"/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465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687" t="s">
        <v>14</v>
      </c>
      <c r="I54" s="45"/>
      <c r="J54" s="45"/>
      <c r="K54" s="46"/>
      <c r="L54" s="465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6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779" t="s">
        <v>28</v>
      </c>
      <c r="B56" s="760"/>
      <c r="C56" s="760"/>
      <c r="D56" s="760"/>
      <c r="E56" s="760"/>
      <c r="F56" s="760"/>
      <c r="G56" s="76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780" t="s">
        <v>29</v>
      </c>
      <c r="C57" s="771"/>
      <c r="D57" s="771"/>
      <c r="E57" s="771"/>
      <c r="F57" s="771"/>
      <c r="G57" s="772"/>
      <c r="H57" s="89"/>
      <c r="I57" s="90"/>
      <c r="J57" s="90"/>
      <c r="K57" s="91"/>
      <c r="L57" s="695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9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693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92">
        <f ca="1">L60+L61</f>
        <v>413200</v>
      </c>
      <c r="M59" s="106">
        <f ca="1">M60+M61</f>
        <v>413200</v>
      </c>
      <c r="N59" s="106">
        <f ca="1">N60+N61</f>
        <v>348552.06</v>
      </c>
      <c r="O59" s="106">
        <f t="shared" ref="O59:O67" ca="1" si="16">IF(L59&gt;0,N59*100/L59,0)</f>
        <v>84.354322362052272</v>
      </c>
      <c r="P59" s="106">
        <f t="shared" ref="P59:P67" ca="1" si="17">IF(M59&gt;0,N59*100/M59,0)</f>
        <v>84.354322362052272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 t="shared" ref="T59:T67" si="18">IF(Q59&gt;0,S59*100/Q59,0)</f>
        <v>0</v>
      </c>
      <c r="U59" s="106">
        <f t="shared" ref="U59:U67" si="19">IF(R59&gt;0,S59*100/R59,0)</f>
        <v>0</v>
      </c>
    </row>
    <row r="60" spans="1:21" ht="18.75" hidden="1" x14ac:dyDescent="0.25">
      <c r="A60" s="98"/>
      <c r="B60" s="99"/>
      <c r="C60" s="99"/>
      <c r="D60" s="99"/>
      <c r="E60" s="691" t="s">
        <v>20</v>
      </c>
      <c r="F60" s="99"/>
      <c r="G60" s="102"/>
      <c r="H60" s="690" t="s">
        <v>14</v>
      </c>
      <c r="I60" s="104"/>
      <c r="J60" s="104"/>
      <c r="K60" s="105"/>
      <c r="L60" s="689">
        <f t="shared" ref="L60:N61" si="20">L63+L66</f>
        <v>0</v>
      </c>
      <c r="M60" s="110">
        <f t="shared" si="20"/>
        <v>0</v>
      </c>
      <c r="N60" s="110">
        <f t="shared" si="20"/>
        <v>0</v>
      </c>
      <c r="O60" s="110">
        <f t="shared" si="16"/>
        <v>0</v>
      </c>
      <c r="P60" s="110">
        <f t="shared" si="17"/>
        <v>0</v>
      </c>
      <c r="Q60" s="110">
        <f t="shared" ref="Q60:S61" si="21">Q63+Q66</f>
        <v>0</v>
      </c>
      <c r="R60" s="110">
        <f t="shared" si="21"/>
        <v>0</v>
      </c>
      <c r="S60" s="110">
        <f t="shared" si="21"/>
        <v>0</v>
      </c>
      <c r="T60" s="110">
        <f t="shared" si="18"/>
        <v>0</v>
      </c>
      <c r="U60" s="110">
        <f t="shared" si="19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88">
        <f t="shared" ca="1" si="20"/>
        <v>413200</v>
      </c>
      <c r="M61" s="109">
        <f t="shared" ca="1" si="20"/>
        <v>413200</v>
      </c>
      <c r="N61" s="109">
        <f t="shared" ca="1" si="20"/>
        <v>348552.06</v>
      </c>
      <c r="O61" s="109">
        <f t="shared" ca="1" si="16"/>
        <v>84.354322362052272</v>
      </c>
      <c r="P61" s="109">
        <f t="shared" ca="1" si="17"/>
        <v>84.354322362052272</v>
      </c>
      <c r="Q61" s="109">
        <f t="shared" si="21"/>
        <v>0</v>
      </c>
      <c r="R61" s="109">
        <f t="shared" si="21"/>
        <v>0</v>
      </c>
      <c r="S61" s="109">
        <f t="shared" si="21"/>
        <v>0</v>
      </c>
      <c r="T61" s="109">
        <f t="shared" si="18"/>
        <v>0</v>
      </c>
      <c r="U61" s="109">
        <f t="shared" si="19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67">
        <f ca="1">L63+L64</f>
        <v>413200</v>
      </c>
      <c r="M62" s="47">
        <f ca="1">M63+M64</f>
        <v>413200</v>
      </c>
      <c r="N62" s="47">
        <f ca="1">N63+N64</f>
        <v>348552.06</v>
      </c>
      <c r="O62" s="47">
        <f t="shared" ca="1" si="16"/>
        <v>84.354322362052272</v>
      </c>
      <c r="P62" s="47">
        <f t="shared" ca="1" si="17"/>
        <v>84.354322362052272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 t="shared" si="18"/>
        <v>0</v>
      </c>
      <c r="U62" s="47">
        <f t="shared" si="19"/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687" t="s">
        <v>14</v>
      </c>
      <c r="I63" s="45"/>
      <c r="J63" s="45"/>
      <c r="K63" s="46"/>
      <c r="L63" s="468">
        <v>0</v>
      </c>
      <c r="M63" s="49">
        <v>0</v>
      </c>
      <c r="N63" s="49">
        <v>0</v>
      </c>
      <c r="O63" s="49">
        <f t="shared" si="16"/>
        <v>0</v>
      </c>
      <c r="P63" s="49">
        <f t="shared" si="17"/>
        <v>0</v>
      </c>
      <c r="Q63" s="49">
        <v>0</v>
      </c>
      <c r="R63" s="49">
        <v>0</v>
      </c>
      <c r="S63" s="49">
        <v>0</v>
      </c>
      <c r="T63" s="49">
        <f t="shared" si="18"/>
        <v>0</v>
      </c>
      <c r="U63" s="49">
        <f t="shared" si="19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67">
        <f ca="1">IFERROR(__xludf.DUMMYFUNCTION("IMPORTRANGE(""https://docs.google.com/spreadsheets/d/1-uDff_7J0KD5mKrp0Vvzr7lt3OU09vwQwhkpOPPYv2Y/edit?usp=sharing"",""งบพรบ!AC82"")"),413200)</f>
        <v>413200</v>
      </c>
      <c r="M64" s="47">
        <f ca="1">IFERROR(__xludf.DUMMYFUNCTION("IMPORTRANGE(""https://docs.google.com/spreadsheets/d/1-uDff_7J0KD5mKrp0Vvzr7lt3OU09vwQwhkpOPPYv2Y/edit?usp=sharing"",""งบพรบ!AH82"")"),413200)</f>
        <v>413200</v>
      </c>
      <c r="N64" s="47">
        <f ca="1">IFERROR(__xludf.DUMMYFUNCTION("IMPORTRANGE(""https://docs.google.com/spreadsheets/d/1-uDff_7J0KD5mKrp0Vvzr7lt3OU09vwQwhkpOPPYv2Y/edit?usp=sharing"",""งบพรบ!AJ82"")"),348552.06)</f>
        <v>348552.06</v>
      </c>
      <c r="O64" s="47">
        <f t="shared" ca="1" si="16"/>
        <v>84.354322362052272</v>
      </c>
      <c r="P64" s="47">
        <f t="shared" ca="1" si="17"/>
        <v>84.354322362052272</v>
      </c>
      <c r="Q64" s="47">
        <v>0</v>
      </c>
      <c r="R64" s="47">
        <v>0</v>
      </c>
      <c r="S64" s="47">
        <v>0</v>
      </c>
      <c r="T64" s="47">
        <f t="shared" si="18"/>
        <v>0</v>
      </c>
      <c r="U64" s="47">
        <f t="shared" si="19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67">
        <f ca="1">L66+L67</f>
        <v>0</v>
      </c>
      <c r="M65" s="47">
        <f ca="1">M66+M67</f>
        <v>0</v>
      </c>
      <c r="N65" s="47">
        <f ca="1">N66+N67</f>
        <v>0</v>
      </c>
      <c r="O65" s="47">
        <f t="shared" ca="1" si="16"/>
        <v>0</v>
      </c>
      <c r="P65" s="47">
        <f t="shared" ca="1" si="17"/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 t="shared" si="18"/>
        <v>0</v>
      </c>
      <c r="U65" s="47">
        <f t="shared" si="19"/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687" t="s">
        <v>14</v>
      </c>
      <c r="I66" s="45"/>
      <c r="J66" s="45"/>
      <c r="K66" s="46"/>
      <c r="L66" s="468">
        <v>0</v>
      </c>
      <c r="M66" s="49">
        <v>0</v>
      </c>
      <c r="N66" s="49">
        <v>0</v>
      </c>
      <c r="O66" s="49">
        <f t="shared" si="16"/>
        <v>0</v>
      </c>
      <c r="P66" s="49">
        <f t="shared" si="17"/>
        <v>0</v>
      </c>
      <c r="Q66" s="49">
        <v>0</v>
      </c>
      <c r="R66" s="49">
        <v>0</v>
      </c>
      <c r="S66" s="49">
        <v>0</v>
      </c>
      <c r="T66" s="49">
        <f t="shared" si="18"/>
        <v>0</v>
      </c>
      <c r="U66" s="49">
        <f t="shared" si="19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686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t="shared" ca="1" si="16"/>
        <v>0</v>
      </c>
      <c r="P67" s="111">
        <f t="shared" ca="1" si="17"/>
        <v>0</v>
      </c>
      <c r="Q67" s="111">
        <v>0</v>
      </c>
      <c r="R67" s="111">
        <v>0</v>
      </c>
      <c r="S67" s="111">
        <v>0</v>
      </c>
      <c r="T67" s="111">
        <f t="shared" si="18"/>
        <v>0</v>
      </c>
      <c r="U67" s="111">
        <f t="shared" si="19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02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02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470" t="s">
        <v>19</v>
      </c>
      <c r="E72" s="41"/>
      <c r="F72" s="41"/>
      <c r="G72" s="43"/>
      <c r="H72" s="131" t="s">
        <v>14</v>
      </c>
      <c r="I72" s="45"/>
      <c r="J72" s="45"/>
      <c r="K72" s="46"/>
      <c r="L72" s="469">
        <f ca="1">L73+L74</f>
        <v>451900</v>
      </c>
      <c r="M72" s="132">
        <f ca="1">M73+M74</f>
        <v>451900</v>
      </c>
      <c r="N72" s="132">
        <f ca="1">N73+N74</f>
        <v>303819.39</v>
      </c>
      <c r="O72" s="132">
        <f t="shared" ref="O72:O80" ca="1" si="22">IF(L72&gt;0,N72*100/L72,0)</f>
        <v>67.231553441026776</v>
      </c>
      <c r="P72" s="132">
        <f t="shared" ref="P72:P80" ca="1" si="23">IF(M72&gt;0,N72*100/M72,0)</f>
        <v>67.231553441026776</v>
      </c>
      <c r="Q72" s="132">
        <f ca="1">Q73+Q74</f>
        <v>344592</v>
      </c>
      <c r="R72" s="132">
        <f ca="1">R73+R74</f>
        <v>344592</v>
      </c>
      <c r="S72" s="132">
        <f ca="1">S73+S74</f>
        <v>0</v>
      </c>
      <c r="T72" s="132">
        <f t="shared" ref="T72:T80" ca="1" si="24">IF(Q72&gt;0,S72*100/Q72,0)</f>
        <v>0</v>
      </c>
      <c r="U72" s="132">
        <f t="shared" ref="U72:U80" ca="1" si="25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468">
        <f t="shared" ref="L73:N74" si="26">L76+L79</f>
        <v>0</v>
      </c>
      <c r="M73" s="49">
        <f t="shared" si="26"/>
        <v>0</v>
      </c>
      <c r="N73" s="49">
        <f t="shared" si="26"/>
        <v>0</v>
      </c>
      <c r="O73" s="49">
        <f t="shared" si="22"/>
        <v>0</v>
      </c>
      <c r="P73" s="49">
        <f t="shared" si="23"/>
        <v>0</v>
      </c>
      <c r="Q73" s="49">
        <f t="shared" ref="Q73:S74" si="27">Q76+Q79</f>
        <v>0</v>
      </c>
      <c r="R73" s="49">
        <f t="shared" si="27"/>
        <v>0</v>
      </c>
      <c r="S73" s="49">
        <f t="shared" si="27"/>
        <v>0</v>
      </c>
      <c r="T73" s="49">
        <f t="shared" si="24"/>
        <v>0</v>
      </c>
      <c r="U73" s="49">
        <f t="shared" si="25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67">
        <f t="shared" ca="1" si="26"/>
        <v>451900</v>
      </c>
      <c r="M74" s="47">
        <f t="shared" ca="1" si="26"/>
        <v>451900</v>
      </c>
      <c r="N74" s="47">
        <f t="shared" ca="1" si="26"/>
        <v>303819.39</v>
      </c>
      <c r="O74" s="47">
        <f t="shared" ca="1" si="22"/>
        <v>67.231553441026776</v>
      </c>
      <c r="P74" s="47">
        <f t="shared" ca="1" si="23"/>
        <v>67.231553441026776</v>
      </c>
      <c r="Q74" s="47">
        <f t="shared" ca="1" si="27"/>
        <v>344592</v>
      </c>
      <c r="R74" s="47">
        <f t="shared" ca="1" si="27"/>
        <v>344592</v>
      </c>
      <c r="S74" s="47">
        <f t="shared" ca="1" si="27"/>
        <v>0</v>
      </c>
      <c r="T74" s="47">
        <f t="shared" ca="1" si="24"/>
        <v>0</v>
      </c>
      <c r="U74" s="47">
        <f t="shared" ca="1" si="25"/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67">
        <f ca="1">L76+L77</f>
        <v>451900</v>
      </c>
      <c r="M75" s="47">
        <f ca="1">M76+M77</f>
        <v>451900</v>
      </c>
      <c r="N75" s="47">
        <f ca="1">N76+N77</f>
        <v>303819.39</v>
      </c>
      <c r="O75" s="47">
        <f t="shared" ca="1" si="22"/>
        <v>67.231553441026776</v>
      </c>
      <c r="P75" s="47">
        <f t="shared" ca="1" si="23"/>
        <v>67.231553441026776</v>
      </c>
      <c r="Q75" s="47">
        <f ca="1">Q76+Q77</f>
        <v>344592</v>
      </c>
      <c r="R75" s="47">
        <f ca="1">R76+R77</f>
        <v>344592</v>
      </c>
      <c r="S75" s="47">
        <f ca="1">S76+S77</f>
        <v>0</v>
      </c>
      <c r="T75" s="47">
        <f t="shared" ca="1" si="24"/>
        <v>0</v>
      </c>
      <c r="U75" s="47">
        <f t="shared" ca="1" si="25"/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468">
        <v>0</v>
      </c>
      <c r="M76" s="49">
        <v>0</v>
      </c>
      <c r="N76" s="49">
        <v>0</v>
      </c>
      <c r="O76" s="49">
        <f t="shared" si="22"/>
        <v>0</v>
      </c>
      <c r="P76" s="49">
        <f t="shared" si="23"/>
        <v>0</v>
      </c>
      <c r="Q76" s="49">
        <v>0</v>
      </c>
      <c r="R76" s="49">
        <v>0</v>
      </c>
      <c r="S76" s="49">
        <v>0</v>
      </c>
      <c r="T76" s="49">
        <f t="shared" si="24"/>
        <v>0</v>
      </c>
      <c r="U76" s="49">
        <f t="shared" si="25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67">
        <f ca="1">IFERROR(__xludf.DUMMYFUNCTION("IMPORTRANGE(""https://docs.google.com/spreadsheets/d/1-uDff_7J0KD5mKrp0Vvzr7lt3OU09vwQwhkpOPPYv2Y/edit?usp=sharing"",""งบพรบ!AM82"")"),451900)</f>
        <v>451900</v>
      </c>
      <c r="M77" s="47">
        <f ca="1">IFERROR(__xludf.DUMMYFUNCTION("IMPORTRANGE(""https://docs.google.com/spreadsheets/d/1-uDff_7J0KD5mKrp0Vvzr7lt3OU09vwQwhkpOPPYv2Y/edit?usp=sharing"",""งบพรบ!AR82"")"),451900)</f>
        <v>451900</v>
      </c>
      <c r="N77" s="47">
        <f ca="1">IFERROR(__xludf.DUMMYFUNCTION("IMPORTRANGE(""https://docs.google.com/spreadsheets/d/1-uDff_7J0KD5mKrp0Vvzr7lt3OU09vwQwhkpOPPYv2Y/edit?usp=sharing"",""งบพรบ!AT82"")"),303819.39)</f>
        <v>303819.39</v>
      </c>
      <c r="O77" s="47">
        <f t="shared" ca="1" si="22"/>
        <v>67.231553441026776</v>
      </c>
      <c r="P77" s="47">
        <f t="shared" ca="1" si="23"/>
        <v>67.231553441026776</v>
      </c>
      <c r="Q77" s="47">
        <f ca="1">IFERROR(__xludf.DUMMYFUNCTION("IMPORTRANGE(""https://docs.google.com/spreadsheets/d/1ItG2mGa2ceCfYo0BwxsXqNm01IGEUdYcSSLTEv9YCik/edit?usp=sharing"",""เบิกจ่ายกองทุน!AS82"")"),344592)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IFERROR(__xludf.DUMMYFUNCTION("IMPORTRANGE(""https://docs.google.com/spreadsheets/d/1ItG2mGa2ceCfYo0BwxsXqNm01IGEUdYcSSLTEv9YCik/edit?usp=sharing"",""เบิกจ่ายกองทุน!AT82"")"),344592)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IFERROR(__xludf.DUMMYFUNCTION("IMPORTRANGE(""https://docs.google.com/spreadsheets/d/1ItG2mGa2ceCfYo0BwxsXqNm01IGEUdYcSSLTEv9YCik/edit?usp=sharing"",""เบิกจ่ายกองทุน!AU82"")"),0)</f>
        <v>0</v>
      </c>
      <c r="T77" s="47">
        <f t="shared" ca="1" si="24"/>
        <v>0</v>
      </c>
      <c r="U77" s="47">
        <f t="shared" ca="1" si="25"/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67">
        <f ca="1">L79+L80</f>
        <v>0</v>
      </c>
      <c r="M78" s="47">
        <f ca="1">M79+M80</f>
        <v>0</v>
      </c>
      <c r="N78" s="47">
        <f ca="1">N79+N80</f>
        <v>0</v>
      </c>
      <c r="O78" s="47">
        <f t="shared" ca="1" si="22"/>
        <v>0</v>
      </c>
      <c r="P78" s="47">
        <f t="shared" ca="1" si="23"/>
        <v>0</v>
      </c>
      <c r="Q78" s="47">
        <f>Q79+Q80</f>
        <v>0</v>
      </c>
      <c r="R78" s="47">
        <f>R79+R80</f>
        <v>0</v>
      </c>
      <c r="S78" s="47">
        <f>S79+S80</f>
        <v>0</v>
      </c>
      <c r="T78" s="47">
        <f t="shared" si="24"/>
        <v>0</v>
      </c>
      <c r="U78" s="47">
        <f t="shared" si="25"/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468">
        <v>0</v>
      </c>
      <c r="M79" s="47">
        <v>0</v>
      </c>
      <c r="N79" s="47">
        <v>0</v>
      </c>
      <c r="O79" s="49">
        <f t="shared" si="22"/>
        <v>0</v>
      </c>
      <c r="P79" s="49">
        <f t="shared" si="23"/>
        <v>0</v>
      </c>
      <c r="Q79" s="49">
        <v>0</v>
      </c>
      <c r="R79" s="47">
        <v>0</v>
      </c>
      <c r="S79" s="47">
        <v>0</v>
      </c>
      <c r="T79" s="49">
        <f t="shared" si="24"/>
        <v>0</v>
      </c>
      <c r="U79" s="49">
        <f t="shared" si="25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67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t="shared" ca="1" si="22"/>
        <v>0</v>
      </c>
      <c r="P80" s="47">
        <f t="shared" ca="1" si="23"/>
        <v>0</v>
      </c>
      <c r="Q80" s="47">
        <v>0</v>
      </c>
      <c r="R80" s="47">
        <v>0</v>
      </c>
      <c r="S80" s="47">
        <v>0</v>
      </c>
      <c r="T80" s="47">
        <f t="shared" si="24"/>
        <v>0</v>
      </c>
      <c r="U80" s="47">
        <f t="shared" si="25"/>
        <v>0</v>
      </c>
    </row>
    <row r="81" spans="1:21" ht="19.5" x14ac:dyDescent="0.3">
      <c r="A81" s="138"/>
      <c r="B81" s="139"/>
      <c r="C81" s="129" t="s">
        <v>18</v>
      </c>
      <c r="D81" s="492" t="s">
        <v>38</v>
      </c>
      <c r="E81" s="141"/>
      <c r="F81" s="141"/>
      <c r="G81" s="142"/>
      <c r="H81" s="143"/>
      <c r="I81" s="135"/>
      <c r="J81" s="135"/>
      <c r="K81" s="136"/>
      <c r="L81" s="48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t="shared" ref="K82:K90" ca="1" si="28">IF(I82&gt;0,J82*100/I82,0)</f>
        <v>0</v>
      </c>
      <c r="L82" s="48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t="shared" ca="1" si="28"/>
        <v>0</v>
      </c>
      <c r="L83" s="48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t="shared" ca="1" si="28"/>
        <v>0</v>
      </c>
      <c r="L84" s="48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t="shared" ca="1" si="28"/>
        <v>0</v>
      </c>
      <c r="L85" s="48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t="shared" ca="1" si="28"/>
        <v>0</v>
      </c>
      <c r="L86" s="48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t="shared" ca="1" si="28"/>
        <v>0</v>
      </c>
      <c r="L87" s="48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t="shared" ca="1" si="28"/>
        <v>0</v>
      </c>
      <c r="L88" s="48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t="shared" ca="1" si="28"/>
        <v>0</v>
      </c>
      <c r="L89" s="48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t="shared" ca="1" si="28"/>
        <v>0</v>
      </c>
      <c r="L90" s="48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02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02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470" t="s">
        <v>19</v>
      </c>
      <c r="E94" s="41"/>
      <c r="F94" s="41"/>
      <c r="G94" s="43"/>
      <c r="H94" s="131" t="s">
        <v>14</v>
      </c>
      <c r="I94" s="45"/>
      <c r="J94" s="45"/>
      <c r="K94" s="46"/>
      <c r="L94" s="469">
        <f ca="1">L95+L96</f>
        <v>0</v>
      </c>
      <c r="M94" s="132">
        <f ca="1">M95+M96</f>
        <v>0</v>
      </c>
      <c r="N94" s="132">
        <f ca="1">N95+N96</f>
        <v>0</v>
      </c>
      <c r="O94" s="132">
        <f t="shared" ref="O94:O102" ca="1" si="29">IF(L94&gt;0,N94*100/L94,0)</f>
        <v>0</v>
      </c>
      <c r="P94" s="132">
        <f t="shared" ref="P94:P102" ca="1" si="30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t="shared" ref="T94:T102" ca="1" si="31">IF(Q94&gt;0,S94*100/Q94,0)</f>
        <v>56.02937692489931</v>
      </c>
      <c r="U94" s="132">
        <f t="shared" ref="U94:U102" ca="1" si="32">IF(R94&gt;0,S94*100/R94,0)</f>
        <v>56.02937692489931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68">
        <f t="shared" ref="L95:N96" si="33">L98+L101</f>
        <v>0</v>
      </c>
      <c r="M95" s="49">
        <f t="shared" si="33"/>
        <v>0</v>
      </c>
      <c r="N95" s="49">
        <f t="shared" si="33"/>
        <v>0</v>
      </c>
      <c r="O95" s="49">
        <f t="shared" si="29"/>
        <v>0</v>
      </c>
      <c r="P95" s="49">
        <f t="shared" si="30"/>
        <v>0</v>
      </c>
      <c r="Q95" s="49">
        <f t="shared" ref="Q95:S96" si="34">Q98+Q101</f>
        <v>0</v>
      </c>
      <c r="R95" s="49">
        <f t="shared" si="34"/>
        <v>0</v>
      </c>
      <c r="S95" s="49">
        <f t="shared" si="34"/>
        <v>0</v>
      </c>
      <c r="T95" s="49">
        <f t="shared" si="31"/>
        <v>0</v>
      </c>
      <c r="U95" s="49">
        <f t="shared" si="32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67">
        <f t="shared" ca="1" si="33"/>
        <v>0</v>
      </c>
      <c r="M96" s="47">
        <f t="shared" ca="1" si="33"/>
        <v>0</v>
      </c>
      <c r="N96" s="47">
        <f t="shared" ca="1" si="33"/>
        <v>0</v>
      </c>
      <c r="O96" s="47">
        <f t="shared" ca="1" si="29"/>
        <v>0</v>
      </c>
      <c r="P96" s="47">
        <f t="shared" ca="1" si="30"/>
        <v>0</v>
      </c>
      <c r="Q96" s="47">
        <f t="shared" ca="1" si="34"/>
        <v>84420</v>
      </c>
      <c r="R96" s="47">
        <f t="shared" ca="1" si="34"/>
        <v>84420</v>
      </c>
      <c r="S96" s="47">
        <f t="shared" ca="1" si="34"/>
        <v>47300</v>
      </c>
      <c r="T96" s="47">
        <f t="shared" ca="1" si="31"/>
        <v>56.02937692489931</v>
      </c>
      <c r="U96" s="47">
        <f t="shared" ca="1" si="32"/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67">
        <f ca="1">L98+L99</f>
        <v>0</v>
      </c>
      <c r="M97" s="47">
        <f ca="1">M98+M99</f>
        <v>0</v>
      </c>
      <c r="N97" s="47">
        <f ca="1">N98+N99</f>
        <v>0</v>
      </c>
      <c r="O97" s="47">
        <f t="shared" ca="1" si="29"/>
        <v>0</v>
      </c>
      <c r="P97" s="47">
        <f t="shared" ca="1" si="30"/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t="shared" ca="1" si="31"/>
        <v>56.02937692489931</v>
      </c>
      <c r="U97" s="47">
        <f t="shared" ca="1" si="32"/>
        <v>56.02937692489931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68">
        <v>0</v>
      </c>
      <c r="M98" s="49">
        <v>0</v>
      </c>
      <c r="N98" s="49">
        <v>0</v>
      </c>
      <c r="O98" s="49">
        <f t="shared" si="29"/>
        <v>0</v>
      </c>
      <c r="P98" s="49">
        <f t="shared" si="30"/>
        <v>0</v>
      </c>
      <c r="Q98" s="49">
        <v>0</v>
      </c>
      <c r="R98" s="49">
        <v>0</v>
      </c>
      <c r="S98" s="49">
        <v>0</v>
      </c>
      <c r="T98" s="49">
        <f t="shared" si="31"/>
        <v>0</v>
      </c>
      <c r="U98" s="49">
        <f t="shared" si="32"/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67">
        <f ca="1">IFERROR(__xludf.DUMMYFUNCTION("IMPORTRANGE(""https://docs.google.com/spreadsheets/d/1-uDff_7J0KD5mKrp0Vvzr7lt3OU09vwQwhkpOPPYv2Y/edit?usp=sharing"",""งบพรบ!AW82"")"),0)</f>
        <v>0</v>
      </c>
      <c r="M99" s="47">
        <f ca="1">IFERROR(__xludf.DUMMYFUNCTION("IMPORTRANGE(""https://docs.google.com/spreadsheets/d/1-uDff_7J0KD5mKrp0Vvzr7lt3OU09vwQwhkpOPPYv2Y/edit?usp=sharing"",""งบพรบ!BB82"")"),0)</f>
        <v>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t="shared" ca="1" si="29"/>
        <v>0</v>
      </c>
      <c r="P99" s="47">
        <f t="shared" ca="1" si="30"/>
        <v>0</v>
      </c>
      <c r="Q99" s="47">
        <f ca="1">IFERROR(__xludf.DUMMYFUNCTION("IMPORTRANGE(""https://docs.google.com/spreadsheets/d/1ItG2mGa2ceCfYo0BwxsXqNm01IGEUdYcSSLTEv9YCik/edit?usp=sharing"",""เบิกจ่ายกองทุน!AD82"")"),84420)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IFERROR(__xludf.DUMMYFUNCTION("IMPORTRANGE(""https://docs.google.com/spreadsheets/d/1ItG2mGa2ceCfYo0BwxsXqNm01IGEUdYcSSLTEv9YCik/edit?usp=sharing"",""เบิกจ่ายกองทุน!AE82"")"),84420)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IFERROR(__xludf.DUMMYFUNCTION("IMPORTRANGE(""https://docs.google.com/spreadsheets/d/1ItG2mGa2ceCfYo0BwxsXqNm01IGEUdYcSSLTEv9YCik/edit?usp=sharing"",""เบิกจ่ายกองทุน!AF82"")"),47300)</f>
        <v>47300</v>
      </c>
      <c r="T99" s="47">
        <f t="shared" ca="1" si="31"/>
        <v>56.02937692489931</v>
      </c>
      <c r="U99" s="47">
        <f t="shared" ca="1" si="32"/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67">
        <f ca="1">L101+L102</f>
        <v>0</v>
      </c>
      <c r="M100" s="47">
        <f ca="1">M101+M102</f>
        <v>0</v>
      </c>
      <c r="N100" s="47">
        <f ca="1">N101+N102</f>
        <v>0</v>
      </c>
      <c r="O100" s="47">
        <f t="shared" ca="1" si="29"/>
        <v>0</v>
      </c>
      <c r="P100" s="47">
        <f t="shared" ca="1" si="30"/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 t="shared" si="31"/>
        <v>0</v>
      </c>
      <c r="U100" s="47">
        <f t="shared" si="32"/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68">
        <v>0</v>
      </c>
      <c r="M101" s="49">
        <v>0</v>
      </c>
      <c r="N101" s="49">
        <v>0</v>
      </c>
      <c r="O101" s="49">
        <f t="shared" si="29"/>
        <v>0</v>
      </c>
      <c r="P101" s="49">
        <f t="shared" si="30"/>
        <v>0</v>
      </c>
      <c r="Q101" s="49">
        <v>0</v>
      </c>
      <c r="R101" s="49">
        <v>0</v>
      </c>
      <c r="S101" s="49">
        <v>0</v>
      </c>
      <c r="T101" s="49">
        <f t="shared" si="31"/>
        <v>0</v>
      </c>
      <c r="U101" s="49">
        <f t="shared" si="32"/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67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t="shared" ca="1" si="29"/>
        <v>0</v>
      </c>
      <c r="P102" s="47">
        <f t="shared" ca="1" si="30"/>
        <v>0</v>
      </c>
      <c r="Q102" s="47">
        <v>0</v>
      </c>
      <c r="R102" s="47">
        <v>0</v>
      </c>
      <c r="S102" s="47">
        <v>0</v>
      </c>
      <c r="T102" s="47">
        <f t="shared" si="31"/>
        <v>0</v>
      </c>
      <c r="U102" s="47">
        <f t="shared" si="32"/>
        <v>0</v>
      </c>
    </row>
    <row r="103" spans="1:21" ht="19.5" x14ac:dyDescent="0.3">
      <c r="A103" s="138"/>
      <c r="B103" s="139"/>
      <c r="C103" s="129" t="s">
        <v>18</v>
      </c>
      <c r="D103" s="492" t="s">
        <v>38</v>
      </c>
      <c r="E103" s="141"/>
      <c r="F103" s="141"/>
      <c r="G103" s="142"/>
      <c r="H103" s="143"/>
      <c r="I103" s="135"/>
      <c r="J103" s="45"/>
      <c r="K103" s="46"/>
      <c r="L103" s="465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599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599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599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5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465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465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599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599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599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725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684" t="s">
        <v>51</v>
      </c>
      <c r="B115" s="681"/>
      <c r="C115" s="683"/>
      <c r="D115" s="682"/>
      <c r="E115" s="682"/>
      <c r="F115" s="682"/>
      <c r="G115" s="682"/>
      <c r="H115" s="681"/>
      <c r="I115" s="680"/>
      <c r="J115" s="680"/>
      <c r="K115" s="679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02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47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469">
        <f ca="1">L118+L119</f>
        <v>0</v>
      </c>
      <c r="M117" s="132">
        <f ca="1">M118+M119</f>
        <v>0</v>
      </c>
      <c r="N117" s="132">
        <f ca="1">N118+N119</f>
        <v>0</v>
      </c>
      <c r="O117" s="132">
        <f t="shared" ref="O117:O125" ca="1" si="35">IF(L117&gt;0,N117*100/L117,0)</f>
        <v>0</v>
      </c>
      <c r="P117" s="132">
        <f t="shared" ref="P117:P125" ca="1" si="36">IF(M117&gt;0,N117*100/M117,0)</f>
        <v>0</v>
      </c>
      <c r="Q117" s="132">
        <f ca="1">Q118+Q119</f>
        <v>3541460</v>
      </c>
      <c r="R117" s="132">
        <f ca="1">R118+R119</f>
        <v>3541460</v>
      </c>
      <c r="S117" s="132">
        <f ca="1">S118+S119</f>
        <v>46030</v>
      </c>
      <c r="T117" s="132">
        <f t="shared" ref="T117:T125" ca="1" si="37">IF(Q117&gt;0,S117*100/Q117,0)</f>
        <v>1.2997464322624002</v>
      </c>
      <c r="U117" s="132">
        <f t="shared" ref="U117:U125" ca="1" si="38">IF(R117&gt;0,S117*100/R117,0)</f>
        <v>1.2997464322624002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68">
        <f t="shared" ref="L118:N119" si="39">L121+L124</f>
        <v>0</v>
      </c>
      <c r="M118" s="49">
        <f t="shared" si="39"/>
        <v>0</v>
      </c>
      <c r="N118" s="49">
        <f t="shared" si="39"/>
        <v>0</v>
      </c>
      <c r="O118" s="49">
        <f t="shared" si="35"/>
        <v>0</v>
      </c>
      <c r="P118" s="49">
        <f t="shared" si="36"/>
        <v>0</v>
      </c>
      <c r="Q118" s="49">
        <f t="shared" ref="Q118:S119" si="40">Q121+Q124</f>
        <v>0</v>
      </c>
      <c r="R118" s="49">
        <f t="shared" si="40"/>
        <v>0</v>
      </c>
      <c r="S118" s="49">
        <f t="shared" si="40"/>
        <v>0</v>
      </c>
      <c r="T118" s="49">
        <f t="shared" si="37"/>
        <v>0</v>
      </c>
      <c r="U118" s="49">
        <f t="shared" si="38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67">
        <f t="shared" ca="1" si="39"/>
        <v>0</v>
      </c>
      <c r="M119" s="47">
        <f t="shared" ca="1" si="39"/>
        <v>0</v>
      </c>
      <c r="N119" s="47">
        <f t="shared" ca="1" si="39"/>
        <v>0</v>
      </c>
      <c r="O119" s="47">
        <f t="shared" ca="1" si="35"/>
        <v>0</v>
      </c>
      <c r="P119" s="47">
        <f t="shared" ca="1" si="36"/>
        <v>0</v>
      </c>
      <c r="Q119" s="47">
        <f t="shared" ca="1" si="40"/>
        <v>3541460</v>
      </c>
      <c r="R119" s="47">
        <f t="shared" ca="1" si="40"/>
        <v>3541460</v>
      </c>
      <c r="S119" s="47">
        <f t="shared" ca="1" si="40"/>
        <v>46030</v>
      </c>
      <c r="T119" s="47">
        <f t="shared" ca="1" si="37"/>
        <v>1.2997464322624002</v>
      </c>
      <c r="U119" s="47">
        <f t="shared" ca="1" si="38"/>
        <v>1.2997464322624002</v>
      </c>
    </row>
    <row r="120" spans="1:21" ht="18.75" x14ac:dyDescent="0.25">
      <c r="A120" s="128"/>
      <c r="B120" s="159"/>
      <c r="C120" s="185"/>
      <c r="D120" s="56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67">
        <f ca="1">L121+L122</f>
        <v>0</v>
      </c>
      <c r="M120" s="47">
        <f ca="1">M121+M122</f>
        <v>0</v>
      </c>
      <c r="N120" s="47">
        <f ca="1">N121+N122</f>
        <v>0</v>
      </c>
      <c r="O120" s="47">
        <f t="shared" ca="1" si="35"/>
        <v>0</v>
      </c>
      <c r="P120" s="47">
        <f t="shared" ca="1" si="36"/>
        <v>0</v>
      </c>
      <c r="Q120" s="47">
        <f ca="1">Q121+Q122</f>
        <v>3541460</v>
      </c>
      <c r="R120" s="47">
        <f ca="1">R121+R122</f>
        <v>3541460</v>
      </c>
      <c r="S120" s="47">
        <f ca="1">S121+S122</f>
        <v>46030</v>
      </c>
      <c r="T120" s="47">
        <f t="shared" ca="1" si="37"/>
        <v>1.2997464322624002</v>
      </c>
      <c r="U120" s="47">
        <f t="shared" ca="1" si="38"/>
        <v>1.2997464322624002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68">
        <v>0</v>
      </c>
      <c r="M121" s="49">
        <v>0</v>
      </c>
      <c r="N121" s="49">
        <v>0</v>
      </c>
      <c r="O121" s="49">
        <f t="shared" si="35"/>
        <v>0</v>
      </c>
      <c r="P121" s="49">
        <f t="shared" si="36"/>
        <v>0</v>
      </c>
      <c r="Q121" s="49">
        <v>0</v>
      </c>
      <c r="R121" s="49">
        <v>0</v>
      </c>
      <c r="S121" s="49">
        <v>0</v>
      </c>
      <c r="T121" s="49">
        <f t="shared" si="37"/>
        <v>0</v>
      </c>
      <c r="U121" s="49">
        <f t="shared" si="38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67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t="shared" ca="1" si="35"/>
        <v>0</v>
      </c>
      <c r="P122" s="47">
        <f t="shared" ca="1" si="36"/>
        <v>0</v>
      </c>
      <c r="Q122" s="47">
        <f ca="1">IFERROR(__xludf.DUMMYFUNCTION("IMPORTRANGE(""https://docs.google.com/spreadsheets/d/1ItG2mGa2ceCfYo0BwxsXqNm01IGEUdYcSSLTEv9YCik/edit?usp=sharing"",""เบิกจ่ายกองทุน!R82"")"),3541460)</f>
        <v>3541460</v>
      </c>
      <c r="R122" s="47">
        <f ca="1">IFERROR(__xludf.DUMMYFUNCTION("IMPORTRANGE(""https://docs.google.com/spreadsheets/d/1ItG2mGa2ceCfYo0BwxsXqNm01IGEUdYcSSLTEv9YCik/edit?usp=sharing"",""เบิกจ่ายกองทุน!S82"")"),3541460)</f>
        <v>3541460</v>
      </c>
      <c r="S122" s="47">
        <f ca="1">IFERROR(__xludf.DUMMYFUNCTION("IMPORTRANGE(""https://docs.google.com/spreadsheets/d/1ItG2mGa2ceCfYo0BwxsXqNm01IGEUdYcSSLTEv9YCik/edit?usp=sharing"",""เบิกจ่ายกองทุน!T82"")"),46030)</f>
        <v>46030</v>
      </c>
      <c r="T122" s="47">
        <f t="shared" ca="1" si="37"/>
        <v>1.2997464322624002</v>
      </c>
      <c r="U122" s="47">
        <f t="shared" ca="1" si="38"/>
        <v>1.2997464322624002</v>
      </c>
    </row>
    <row r="123" spans="1:21" ht="18.75" x14ac:dyDescent="0.25">
      <c r="A123" s="128"/>
      <c r="B123" s="41"/>
      <c r="C123" s="185"/>
      <c r="D123" s="56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67">
        <f ca="1">L124+L125</f>
        <v>0</v>
      </c>
      <c r="M123" s="47">
        <f ca="1">M124+M125</f>
        <v>0</v>
      </c>
      <c r="N123" s="47">
        <f ca="1">N124+N125</f>
        <v>0</v>
      </c>
      <c r="O123" s="47">
        <f t="shared" ca="1" si="35"/>
        <v>0</v>
      </c>
      <c r="P123" s="47">
        <f t="shared" ca="1" si="36"/>
        <v>0</v>
      </c>
      <c r="Q123" s="47">
        <f>Q124+Q125</f>
        <v>0</v>
      </c>
      <c r="R123" s="47">
        <f>R124+R125</f>
        <v>0</v>
      </c>
      <c r="S123" s="47">
        <f>S124+S125</f>
        <v>0</v>
      </c>
      <c r="T123" s="47">
        <f t="shared" si="37"/>
        <v>0</v>
      </c>
      <c r="U123" s="47">
        <f t="shared" si="38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68">
        <v>0</v>
      </c>
      <c r="M124" s="49">
        <v>0</v>
      </c>
      <c r="N124" s="49">
        <v>0</v>
      </c>
      <c r="O124" s="49">
        <f t="shared" si="35"/>
        <v>0</v>
      </c>
      <c r="P124" s="49">
        <f t="shared" si="36"/>
        <v>0</v>
      </c>
      <c r="Q124" s="49">
        <v>0</v>
      </c>
      <c r="R124" s="49">
        <v>0</v>
      </c>
      <c r="S124" s="49">
        <v>0</v>
      </c>
      <c r="T124" s="49">
        <f t="shared" si="37"/>
        <v>0</v>
      </c>
      <c r="U124" s="49">
        <f t="shared" si="38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67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t="shared" ca="1" si="35"/>
        <v>0</v>
      </c>
      <c r="P125" s="47">
        <f t="shared" ca="1" si="36"/>
        <v>0</v>
      </c>
      <c r="Q125" s="47">
        <v>0</v>
      </c>
      <c r="R125" s="47">
        <v>0</v>
      </c>
      <c r="S125" s="47">
        <v>0</v>
      </c>
      <c r="T125" s="47">
        <f t="shared" si="37"/>
        <v>0</v>
      </c>
      <c r="U125" s="47">
        <f t="shared" si="38"/>
        <v>0</v>
      </c>
    </row>
    <row r="126" spans="1:21" ht="19.5" x14ac:dyDescent="0.3">
      <c r="A126" s="138"/>
      <c r="B126" s="139"/>
      <c r="C126" s="188" t="s">
        <v>18</v>
      </c>
      <c r="D126" s="492" t="s">
        <v>38</v>
      </c>
      <c r="E126" s="141"/>
      <c r="F126" s="141"/>
      <c r="G126" s="142"/>
      <c r="H126" s="189"/>
      <c r="I126" s="45"/>
      <c r="J126" s="45"/>
      <c r="K126" s="46"/>
      <c r="L126" s="465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0</v>
      </c>
      <c r="K127" s="47">
        <f ca="1">IF(I127&gt;0,J127*100/I127,0)</f>
        <v>0</v>
      </c>
      <c r="L127" s="465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IFERROR(__xludf.DUMMYFUNCTION("IMPORTRANGE(""https://docs.google.com/spreadsheets/d/1eHaY18a8A9IcSdp1K8H6x8fbOy06t2VsZHhMHf-1x7Y/edit?usp=sharing"",""แผน!FG82"")"),0)</f>
        <v>0</v>
      </c>
      <c r="J128" s="167">
        <v>0</v>
      </c>
      <c r="K128" s="47">
        <f ca="1">IF(I128&gt;0,J128*100/I128,0)</f>
        <v>0</v>
      </c>
      <c r="L128" s="465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0</v>
      </c>
      <c r="K129" s="47">
        <f ca="1">IF(I129&gt;0,J129*100/I129,0)</f>
        <v>0</v>
      </c>
      <c r="L129" s="465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IFERROR(__xludf.DUMMYFUNCTION("IMPORTRANGE(""https://docs.google.com/spreadsheets/d/1eHaY18a8A9IcSdp1K8H6x8fbOy06t2VsZHhMHf-1x7Y/edit?usp=sharing"",""แผน!FI82"")"),0)</f>
        <v>0</v>
      </c>
      <c r="J130" s="167">
        <v>0</v>
      </c>
      <c r="K130" s="47">
        <f ca="1">IF(I130&gt;0,J130*100/I130,0)</f>
        <v>0</v>
      </c>
      <c r="L130" s="465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5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5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599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02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02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02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02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47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469">
        <f ca="1">L140+L141</f>
        <v>91400</v>
      </c>
      <c r="M139" s="132">
        <f ca="1">M140+M141</f>
        <v>86400</v>
      </c>
      <c r="N139" s="132">
        <f ca="1">N140+N141</f>
        <v>51384</v>
      </c>
      <c r="O139" s="132">
        <f t="shared" ref="O139:O147" ca="1" si="41">IF(L139&gt;0,N139*100/L139,0)</f>
        <v>56.218818380743983</v>
      </c>
      <c r="P139" s="132">
        <f t="shared" ref="P139:P147" ca="1" si="42">IF(M139&gt;0,N139*100/M139,0)</f>
        <v>59.472222222222221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t="shared" ref="T139:T147" ca="1" si="43">IF(Q139&gt;0,S139*100/Q139,0)</f>
        <v>0</v>
      </c>
      <c r="U139" s="132">
        <f t="shared" ref="U139:U147" ca="1" si="4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468">
        <f t="shared" ref="L140:N141" si="45">L143+L146</f>
        <v>0</v>
      </c>
      <c r="M140" s="49">
        <f t="shared" si="45"/>
        <v>0</v>
      </c>
      <c r="N140" s="49">
        <f t="shared" si="45"/>
        <v>0</v>
      </c>
      <c r="O140" s="49">
        <f t="shared" si="41"/>
        <v>0</v>
      </c>
      <c r="P140" s="49">
        <f t="shared" si="42"/>
        <v>0</v>
      </c>
      <c r="Q140" s="49">
        <f t="shared" ref="Q140:S141" si="46">Q143+Q146</f>
        <v>0</v>
      </c>
      <c r="R140" s="49">
        <f t="shared" si="46"/>
        <v>0</v>
      </c>
      <c r="S140" s="49">
        <f t="shared" si="46"/>
        <v>0</v>
      </c>
      <c r="T140" s="49">
        <f t="shared" si="43"/>
        <v>0</v>
      </c>
      <c r="U140" s="49">
        <f t="shared" si="4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67">
        <f t="shared" ca="1" si="45"/>
        <v>91400</v>
      </c>
      <c r="M141" s="47">
        <f t="shared" ca="1" si="45"/>
        <v>86400</v>
      </c>
      <c r="N141" s="47">
        <f t="shared" ca="1" si="45"/>
        <v>51384</v>
      </c>
      <c r="O141" s="47">
        <f t="shared" ca="1" si="41"/>
        <v>56.218818380743983</v>
      </c>
      <c r="P141" s="47">
        <f t="shared" ca="1" si="42"/>
        <v>59.472222222222221</v>
      </c>
      <c r="Q141" s="47">
        <f t="shared" ca="1" si="46"/>
        <v>0</v>
      </c>
      <c r="R141" s="47">
        <f t="shared" ca="1" si="46"/>
        <v>0</v>
      </c>
      <c r="S141" s="47">
        <f t="shared" ca="1" si="46"/>
        <v>0</v>
      </c>
      <c r="T141" s="47">
        <f t="shared" ca="1" si="43"/>
        <v>0</v>
      </c>
      <c r="U141" s="47">
        <f t="shared" ca="1" si="4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67">
        <f ca="1">L143+L144</f>
        <v>91400</v>
      </c>
      <c r="M142" s="47">
        <f ca="1">M143+M144</f>
        <v>86400</v>
      </c>
      <c r="N142" s="47">
        <f ca="1">N143+N144</f>
        <v>51384</v>
      </c>
      <c r="O142" s="47">
        <f t="shared" ca="1" si="41"/>
        <v>56.218818380743983</v>
      </c>
      <c r="P142" s="47">
        <f t="shared" ca="1" si="42"/>
        <v>59.472222222222221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t="shared" ca="1" si="43"/>
        <v>0</v>
      </c>
      <c r="U142" s="47">
        <f t="shared" ca="1" si="44"/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468">
        <v>0</v>
      </c>
      <c r="M143" s="49">
        <v>0</v>
      </c>
      <c r="N143" s="49">
        <v>0</v>
      </c>
      <c r="O143" s="49">
        <f t="shared" si="41"/>
        <v>0</v>
      </c>
      <c r="P143" s="49">
        <f t="shared" si="42"/>
        <v>0</v>
      </c>
      <c r="Q143" s="49">
        <v>0</v>
      </c>
      <c r="R143" s="49">
        <v>0</v>
      </c>
      <c r="S143" s="49">
        <v>0</v>
      </c>
      <c r="T143" s="49">
        <f t="shared" si="43"/>
        <v>0</v>
      </c>
      <c r="U143" s="49">
        <f t="shared" si="4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67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IFERROR(__xludf.DUMMYFUNCTION("IMPORTRANGE(""https://docs.google.com/spreadsheets/d/1-uDff_7J0KD5mKrp0Vvzr7lt3OU09vwQwhkpOPPYv2Y/edit?usp=sharing"",""งบพรบ!BX82"")"),51384)</f>
        <v>51384</v>
      </c>
      <c r="O144" s="47">
        <f t="shared" ca="1" si="41"/>
        <v>56.218818380743983</v>
      </c>
      <c r="P144" s="47">
        <f t="shared" ca="1" si="42"/>
        <v>59.472222222222221</v>
      </c>
      <c r="Q144" s="47">
        <f ca="1">IFERROR(__xludf.DUMMYFUNCTION("IMPORTRANGE(""https://docs.google.com/spreadsheets/d/1ItG2mGa2ceCfYo0BwxsXqNm01IGEUdYcSSLTEv9YCik/edit?usp=sharing"",""เบิกจ่ายกองทุน!BB82"")"),0)</f>
        <v>0</v>
      </c>
      <c r="R144" s="47">
        <f ca="1">IFERROR(__xludf.DUMMYFUNCTION("IMPORTRANGE(""https://docs.google.com/spreadsheets/d/1ItG2mGa2ceCfYo0BwxsXqNm01IGEUdYcSSLTEv9YCik/edit?usp=sharing"",""เบิกจ่ายกองทุน!BC82"")"),0)</f>
        <v>0</v>
      </c>
      <c r="S144" s="47">
        <f ca="1">IFERROR(__xludf.DUMMYFUNCTION("IMPORTRANGE(""https://docs.google.com/spreadsheets/d/1ItG2mGa2ceCfYo0BwxsXqNm01IGEUdYcSSLTEv9YCik/edit?usp=sharing"",""เบิกจ่ายกองทุน!BD82"")"),0)</f>
        <v>0</v>
      </c>
      <c r="T144" s="47">
        <f t="shared" ca="1" si="43"/>
        <v>0</v>
      </c>
      <c r="U144" s="47">
        <f t="shared" ca="1" si="4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67">
        <f ca="1">L146+L147</f>
        <v>0</v>
      </c>
      <c r="M145" s="47">
        <f ca="1">M146+M147</f>
        <v>0</v>
      </c>
      <c r="N145" s="47">
        <f ca="1">N146+N147</f>
        <v>0</v>
      </c>
      <c r="O145" s="47">
        <f t="shared" ca="1" si="41"/>
        <v>0</v>
      </c>
      <c r="P145" s="47">
        <f t="shared" ca="1" si="42"/>
        <v>0</v>
      </c>
      <c r="Q145" s="47">
        <f>Q146+Q147</f>
        <v>0</v>
      </c>
      <c r="R145" s="47">
        <f>R146+R147</f>
        <v>0</v>
      </c>
      <c r="S145" s="47">
        <f>S146+S147</f>
        <v>0</v>
      </c>
      <c r="T145" s="47">
        <f t="shared" si="43"/>
        <v>0</v>
      </c>
      <c r="U145" s="47">
        <f t="shared" si="44"/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468">
        <v>0</v>
      </c>
      <c r="M146" s="49">
        <v>0</v>
      </c>
      <c r="N146" s="49">
        <v>0</v>
      </c>
      <c r="O146" s="49">
        <f t="shared" si="41"/>
        <v>0</v>
      </c>
      <c r="P146" s="49">
        <f t="shared" si="42"/>
        <v>0</v>
      </c>
      <c r="Q146" s="49">
        <v>0</v>
      </c>
      <c r="R146" s="49">
        <v>0</v>
      </c>
      <c r="S146" s="49">
        <v>0</v>
      </c>
      <c r="T146" s="49">
        <f t="shared" si="43"/>
        <v>0</v>
      </c>
      <c r="U146" s="49">
        <f t="shared" si="4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67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t="shared" ca="1" si="41"/>
        <v>0</v>
      </c>
      <c r="P147" s="47">
        <f t="shared" ca="1" si="42"/>
        <v>0</v>
      </c>
      <c r="Q147" s="47">
        <v>0</v>
      </c>
      <c r="R147" s="47">
        <v>0</v>
      </c>
      <c r="S147" s="47">
        <v>0</v>
      </c>
      <c r="T147" s="47">
        <f t="shared" si="43"/>
        <v>0</v>
      </c>
      <c r="U147" s="47">
        <f t="shared" si="44"/>
        <v>0</v>
      </c>
    </row>
    <row r="148" spans="1:21" ht="19.5" x14ac:dyDescent="0.3">
      <c r="A148" s="138"/>
      <c r="B148" s="139"/>
      <c r="C148" s="129" t="s">
        <v>18</v>
      </c>
      <c r="D148" s="492" t="s">
        <v>38</v>
      </c>
      <c r="E148" s="141"/>
      <c r="F148" s="141"/>
      <c r="G148" s="142"/>
      <c r="H148" s="189"/>
      <c r="I148" s="45"/>
      <c r="J148" s="45"/>
      <c r="K148" s="46"/>
      <c r="L148" s="465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465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465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465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465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465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465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02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47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469">
        <f ca="1">L158+L159</f>
        <v>0</v>
      </c>
      <c r="M157" s="132">
        <f ca="1">M158+M159</f>
        <v>0</v>
      </c>
      <c r="N157" s="132">
        <f ca="1">N158+N159</f>
        <v>0</v>
      </c>
      <c r="O157" s="132">
        <f t="shared" ref="O157:O165" ca="1" si="47">IF(L157&gt;0,N157*100/L157,0)</f>
        <v>0</v>
      </c>
      <c r="P157" s="132">
        <f t="shared" ref="P157:P165" ca="1" si="48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t="shared" ref="T157:T165" ca="1" si="49">IF(Q157&gt;0,S157*100/Q157,0)</f>
        <v>0</v>
      </c>
      <c r="U157" s="132">
        <f t="shared" ref="U157:U165" ca="1" si="50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468">
        <f t="shared" ref="L158:N159" si="51">L161+L164</f>
        <v>0</v>
      </c>
      <c r="M158" s="49">
        <f t="shared" si="51"/>
        <v>0</v>
      </c>
      <c r="N158" s="49">
        <f t="shared" si="51"/>
        <v>0</v>
      </c>
      <c r="O158" s="49">
        <f t="shared" si="47"/>
        <v>0</v>
      </c>
      <c r="P158" s="49">
        <f t="shared" si="48"/>
        <v>0</v>
      </c>
      <c r="Q158" s="49">
        <f t="shared" ref="Q158:S159" si="52">Q161+Q164</f>
        <v>0</v>
      </c>
      <c r="R158" s="49">
        <f t="shared" si="52"/>
        <v>0</v>
      </c>
      <c r="S158" s="49">
        <f t="shared" si="52"/>
        <v>0</v>
      </c>
      <c r="T158" s="49">
        <f t="shared" si="49"/>
        <v>0</v>
      </c>
      <c r="U158" s="49">
        <f t="shared" si="50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67">
        <f t="shared" ca="1" si="51"/>
        <v>0</v>
      </c>
      <c r="M159" s="47">
        <f t="shared" ca="1" si="51"/>
        <v>0</v>
      </c>
      <c r="N159" s="47">
        <f t="shared" ca="1" si="51"/>
        <v>0</v>
      </c>
      <c r="O159" s="47">
        <f t="shared" ca="1" si="47"/>
        <v>0</v>
      </c>
      <c r="P159" s="47">
        <f t="shared" ca="1" si="48"/>
        <v>0</v>
      </c>
      <c r="Q159" s="47">
        <f t="shared" ca="1" si="52"/>
        <v>0</v>
      </c>
      <c r="R159" s="47">
        <f t="shared" ca="1" si="52"/>
        <v>0</v>
      </c>
      <c r="S159" s="47">
        <f t="shared" ca="1" si="52"/>
        <v>0</v>
      </c>
      <c r="T159" s="47">
        <f t="shared" ca="1" si="49"/>
        <v>0</v>
      </c>
      <c r="U159" s="47">
        <f t="shared" ca="1" si="50"/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67">
        <f ca="1">L161+L162</f>
        <v>0</v>
      </c>
      <c r="M160" s="47">
        <f ca="1">M161+M162</f>
        <v>0</v>
      </c>
      <c r="N160" s="47">
        <f ca="1">N161+N162</f>
        <v>0</v>
      </c>
      <c r="O160" s="47">
        <f t="shared" ca="1" si="47"/>
        <v>0</v>
      </c>
      <c r="P160" s="47">
        <f t="shared" ca="1" si="48"/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t="shared" ca="1" si="49"/>
        <v>0</v>
      </c>
      <c r="U160" s="47">
        <f t="shared" ca="1" si="50"/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468">
        <v>0</v>
      </c>
      <c r="M161" s="49">
        <v>0</v>
      </c>
      <c r="N161" s="49">
        <v>0</v>
      </c>
      <c r="O161" s="49">
        <f t="shared" si="47"/>
        <v>0</v>
      </c>
      <c r="P161" s="49">
        <f t="shared" si="48"/>
        <v>0</v>
      </c>
      <c r="Q161" s="49">
        <v>0</v>
      </c>
      <c r="R161" s="49">
        <v>0</v>
      </c>
      <c r="S161" s="49">
        <v>0</v>
      </c>
      <c r="T161" s="49">
        <f t="shared" si="49"/>
        <v>0</v>
      </c>
      <c r="U161" s="49">
        <f t="shared" si="50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67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t="shared" ca="1" si="47"/>
        <v>0</v>
      </c>
      <c r="P162" s="47">
        <f t="shared" ca="1" si="48"/>
        <v>0</v>
      </c>
      <c r="Q162" s="47">
        <f ca="1">IFERROR(__xludf.DUMMYFUNCTION("IMPORTRANGE(""https://docs.google.com/spreadsheets/d/1ItG2mGa2ceCfYo0BwxsXqNm01IGEUdYcSSLTEv9YCik/edit?usp=sharing"",""เบิกจ่ายกองทุน!AG82"")"),0)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IFERROR(__xludf.DUMMYFUNCTION("IMPORTRANGE(""https://docs.google.com/spreadsheets/d/1ItG2mGa2ceCfYo0BwxsXqNm01IGEUdYcSSLTEv9YCik/edit?usp=sharing"",""เบิกจ่ายกองทุน!AH82"")"),0)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IFERROR(__xludf.DUMMYFUNCTION("IMPORTRANGE(""https://docs.google.com/spreadsheets/d/1ItG2mGa2ceCfYo0BwxsXqNm01IGEUdYcSSLTEv9YCik/edit?usp=sharing"",""เบิกจ่ายกองทุน!AI82"")"),0)</f>
        <v>0</v>
      </c>
      <c r="T162" s="47">
        <f t="shared" ca="1" si="49"/>
        <v>0</v>
      </c>
      <c r="U162" s="47">
        <f t="shared" ca="1" si="50"/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67">
        <f ca="1">L164+L165</f>
        <v>0</v>
      </c>
      <c r="M163" s="47">
        <f ca="1">M164+M165</f>
        <v>0</v>
      </c>
      <c r="N163" s="47">
        <f ca="1">N164+N165</f>
        <v>0</v>
      </c>
      <c r="O163" s="47">
        <f t="shared" ca="1" si="47"/>
        <v>0</v>
      </c>
      <c r="P163" s="47">
        <f t="shared" ca="1" si="48"/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 t="shared" si="49"/>
        <v>0</v>
      </c>
      <c r="U163" s="47">
        <f t="shared" si="50"/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468">
        <v>0</v>
      </c>
      <c r="M164" s="49">
        <v>0</v>
      </c>
      <c r="N164" s="49">
        <v>0</v>
      </c>
      <c r="O164" s="49">
        <f t="shared" si="47"/>
        <v>0</v>
      </c>
      <c r="P164" s="49">
        <f t="shared" si="48"/>
        <v>0</v>
      </c>
      <c r="Q164" s="49">
        <v>0</v>
      </c>
      <c r="R164" s="49">
        <v>0</v>
      </c>
      <c r="S164" s="49">
        <v>0</v>
      </c>
      <c r="T164" s="49">
        <f t="shared" si="49"/>
        <v>0</v>
      </c>
      <c r="U164" s="49">
        <f t="shared" si="50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67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t="shared" ca="1" si="47"/>
        <v>0</v>
      </c>
      <c r="P165" s="47">
        <f t="shared" ca="1" si="48"/>
        <v>0</v>
      </c>
      <c r="Q165" s="47">
        <v>0</v>
      </c>
      <c r="R165" s="47">
        <v>0</v>
      </c>
      <c r="S165" s="47">
        <v>0</v>
      </c>
      <c r="T165" s="47">
        <f t="shared" si="49"/>
        <v>0</v>
      </c>
      <c r="U165" s="47">
        <f t="shared" si="50"/>
        <v>0</v>
      </c>
    </row>
    <row r="166" spans="1:21" ht="19.5" hidden="1" x14ac:dyDescent="0.3">
      <c r="A166" s="138"/>
      <c r="B166" s="139"/>
      <c r="C166" s="129" t="s">
        <v>18</v>
      </c>
      <c r="D166" s="492" t="s">
        <v>38</v>
      </c>
      <c r="E166" s="141"/>
      <c r="F166" s="141"/>
      <c r="G166" s="142"/>
      <c r="H166" s="189"/>
      <c r="I166" s="45"/>
      <c r="J166" s="45"/>
      <c r="K166" s="46"/>
      <c r="L166" s="465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465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387" t="s">
        <v>35</v>
      </c>
      <c r="I168" s="327">
        <f ca="1">IFERROR(__xludf.DUMMYFUNCTION("IMPORTRANGE(""https://docs.google.com/spreadsheets/d/1eHaY18a8A9IcSdp1K8H6x8fbOy06t2VsZHhMHf-1x7Y/edit?usp=sharing"",""แผน!Z82"")"),0)</f>
        <v>0</v>
      </c>
      <c r="J168" s="641">
        <v>0</v>
      </c>
      <c r="K168" s="49">
        <f ca="1">IF(I168&gt;0,J168*100/I168,0)</f>
        <v>0</v>
      </c>
      <c r="L168" s="465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41" t="s">
        <v>71</v>
      </c>
      <c r="E169" s="1"/>
      <c r="F169" s="1"/>
      <c r="G169" s="53"/>
      <c r="H169" s="678" t="s">
        <v>35</v>
      </c>
      <c r="I169" s="443">
        <f ca="1">IFERROR(__xludf.DUMMYFUNCTION("IMPORTRANGE(""https://docs.google.com/spreadsheets/d/1eHaY18a8A9IcSdp1K8H6x8fbOy06t2VsZHhMHf-1x7Y/edit?usp=sharing"",""แผน!Z82"")"),0)</f>
        <v>0</v>
      </c>
      <c r="J169" s="677">
        <v>0</v>
      </c>
      <c r="K169" s="676">
        <f ca="1">IF(I169&gt;0,J169*100/I169,0)</f>
        <v>0</v>
      </c>
      <c r="L169" s="46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675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673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47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469">
        <f ca="1">L174+L175</f>
        <v>0</v>
      </c>
      <c r="M173" s="132">
        <f ca="1">M174+M175</f>
        <v>0</v>
      </c>
      <c r="N173" s="132">
        <f ca="1">N174+N175</f>
        <v>0</v>
      </c>
      <c r="O173" s="132">
        <f t="shared" ref="O173:O181" ca="1" si="53">IF(L173&gt;0,N173*100/L173,0)</f>
        <v>0</v>
      </c>
      <c r="P173" s="132">
        <f t="shared" ref="P173:P181" ca="1" si="54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t="shared" ref="T173:T181" ca="1" si="55">IF(Q173&gt;0,S173*100/Q173,0)</f>
        <v>0</v>
      </c>
      <c r="U173" s="132">
        <f t="shared" ref="U173:U181" ca="1" si="5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468">
        <f t="shared" ref="L174:N175" si="57">L177+L180</f>
        <v>0</v>
      </c>
      <c r="M174" s="49">
        <f t="shared" si="57"/>
        <v>0</v>
      </c>
      <c r="N174" s="49">
        <f t="shared" si="57"/>
        <v>0</v>
      </c>
      <c r="O174" s="49">
        <f t="shared" si="53"/>
        <v>0</v>
      </c>
      <c r="P174" s="49">
        <f t="shared" si="54"/>
        <v>0</v>
      </c>
      <c r="Q174" s="49">
        <f t="shared" ref="Q174:S175" si="58">Q177+Q180</f>
        <v>0</v>
      </c>
      <c r="R174" s="49">
        <f t="shared" si="58"/>
        <v>0</v>
      </c>
      <c r="S174" s="49">
        <f t="shared" si="58"/>
        <v>0</v>
      </c>
      <c r="T174" s="49">
        <f t="shared" si="55"/>
        <v>0</v>
      </c>
      <c r="U174" s="49">
        <f t="shared" si="5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67">
        <f t="shared" ca="1" si="57"/>
        <v>0</v>
      </c>
      <c r="M175" s="47">
        <f t="shared" ca="1" si="57"/>
        <v>0</v>
      </c>
      <c r="N175" s="47">
        <f t="shared" ca="1" si="57"/>
        <v>0</v>
      </c>
      <c r="O175" s="47">
        <f t="shared" ca="1" si="53"/>
        <v>0</v>
      </c>
      <c r="P175" s="47">
        <f t="shared" ca="1" si="54"/>
        <v>0</v>
      </c>
      <c r="Q175" s="47">
        <f t="shared" ca="1" si="58"/>
        <v>0</v>
      </c>
      <c r="R175" s="47">
        <f t="shared" ca="1" si="58"/>
        <v>0</v>
      </c>
      <c r="S175" s="47">
        <f t="shared" ca="1" si="58"/>
        <v>0</v>
      </c>
      <c r="T175" s="47">
        <f t="shared" ca="1" si="55"/>
        <v>0</v>
      </c>
      <c r="U175" s="47">
        <f t="shared" ca="1" si="56"/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67">
        <f ca="1">L177+L178</f>
        <v>0</v>
      </c>
      <c r="M176" s="47">
        <f ca="1">M177+M178</f>
        <v>0</v>
      </c>
      <c r="N176" s="47">
        <f ca="1">N177+N178</f>
        <v>0</v>
      </c>
      <c r="O176" s="47">
        <f t="shared" ca="1" si="53"/>
        <v>0</v>
      </c>
      <c r="P176" s="47">
        <f t="shared" ca="1" si="54"/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t="shared" ca="1" si="55"/>
        <v>0</v>
      </c>
      <c r="U176" s="47">
        <f t="shared" ca="1" si="56"/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468">
        <v>0</v>
      </c>
      <c r="M177" s="49">
        <v>0</v>
      </c>
      <c r="N177" s="49">
        <v>0</v>
      </c>
      <c r="O177" s="49">
        <f t="shared" si="53"/>
        <v>0</v>
      </c>
      <c r="P177" s="49">
        <f t="shared" si="54"/>
        <v>0</v>
      </c>
      <c r="Q177" s="49">
        <v>0</v>
      </c>
      <c r="R177" s="49">
        <v>0</v>
      </c>
      <c r="S177" s="49">
        <v>0</v>
      </c>
      <c r="T177" s="49">
        <f t="shared" si="55"/>
        <v>0</v>
      </c>
      <c r="U177" s="49">
        <f t="shared" si="5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67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t="shared" ca="1" si="53"/>
        <v>0</v>
      </c>
      <c r="P178" s="47">
        <f t="shared" ca="1" si="54"/>
        <v>0</v>
      </c>
      <c r="Q178" s="47">
        <f ca="1">IFERROR(__xludf.DUMMYFUNCTION("IMPORTRANGE(""https://docs.google.com/spreadsheets/d/1ItG2mGa2ceCfYo0BwxsXqNm01IGEUdYcSSLTEv9YCik/edit?usp=sharing"",""เบิกจ่ายกองทุน!BE82"")"),0)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IFERROR(__xludf.DUMMYFUNCTION("IMPORTRANGE(""https://docs.google.com/spreadsheets/d/1ItG2mGa2ceCfYo0BwxsXqNm01IGEUdYcSSLTEv9YCik/edit?usp=sharing"",""เบิกจ่ายกองทุน!BF82"")"),0)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IFERROR(__xludf.DUMMYFUNCTION("IMPORTRANGE(""https://docs.google.com/spreadsheets/d/1ItG2mGa2ceCfYo0BwxsXqNm01IGEUdYcSSLTEv9YCik/edit?usp=sharing"",""เบิกจ่ายกองทุน!BG82"")"),0)</f>
        <v>0</v>
      </c>
      <c r="T178" s="47">
        <f t="shared" ca="1" si="55"/>
        <v>0</v>
      </c>
      <c r="U178" s="47">
        <f t="shared" ca="1" si="56"/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67">
        <f ca="1">L180+L181</f>
        <v>0</v>
      </c>
      <c r="M179" s="47">
        <f ca="1">M180+M181</f>
        <v>0</v>
      </c>
      <c r="N179" s="47">
        <f ca="1">N180+N181</f>
        <v>0</v>
      </c>
      <c r="O179" s="47">
        <f t="shared" ca="1" si="53"/>
        <v>0</v>
      </c>
      <c r="P179" s="47">
        <f t="shared" ca="1" si="54"/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 t="shared" si="55"/>
        <v>0</v>
      </c>
      <c r="U179" s="47">
        <f t="shared" si="56"/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468">
        <v>0</v>
      </c>
      <c r="M180" s="49">
        <v>0</v>
      </c>
      <c r="N180" s="49">
        <v>0</v>
      </c>
      <c r="O180" s="49">
        <f t="shared" si="53"/>
        <v>0</v>
      </c>
      <c r="P180" s="49">
        <f t="shared" si="54"/>
        <v>0</v>
      </c>
      <c r="Q180" s="49">
        <v>0</v>
      </c>
      <c r="R180" s="49">
        <v>0</v>
      </c>
      <c r="S180" s="49">
        <v>0</v>
      </c>
      <c r="T180" s="49">
        <f t="shared" si="55"/>
        <v>0</v>
      </c>
      <c r="U180" s="49">
        <f t="shared" si="5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67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t="shared" ca="1" si="53"/>
        <v>0</v>
      </c>
      <c r="P181" s="47">
        <f t="shared" ca="1" si="54"/>
        <v>0</v>
      </c>
      <c r="Q181" s="47">
        <v>0</v>
      </c>
      <c r="R181" s="47">
        <v>0</v>
      </c>
      <c r="S181" s="47">
        <v>0</v>
      </c>
      <c r="T181" s="47">
        <f t="shared" si="55"/>
        <v>0</v>
      </c>
      <c r="U181" s="47">
        <f t="shared" si="56"/>
        <v>0</v>
      </c>
    </row>
    <row r="182" spans="1:21" ht="19.5" hidden="1" x14ac:dyDescent="0.3">
      <c r="A182" s="138"/>
      <c r="B182" s="139"/>
      <c r="C182" s="129" t="s">
        <v>18</v>
      </c>
      <c r="D182" s="492" t="s">
        <v>38</v>
      </c>
      <c r="E182" s="141"/>
      <c r="F182" s="141"/>
      <c r="G182" s="142"/>
      <c r="H182" s="189"/>
      <c r="I182" s="45"/>
      <c r="J182" s="45"/>
      <c r="K182" s="46"/>
      <c r="L182" s="465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465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26" t="s">
        <v>76</v>
      </c>
      <c r="E184" s="41"/>
      <c r="F184" s="41"/>
      <c r="G184" s="43"/>
      <c r="H184" s="674" t="s">
        <v>35</v>
      </c>
      <c r="I184" s="327">
        <v>0</v>
      </c>
      <c r="J184" s="327">
        <v>0</v>
      </c>
      <c r="K184" s="49">
        <f>IF(I184&gt;0,J184*100/I184,0)</f>
        <v>0</v>
      </c>
      <c r="L184" s="465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673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47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469">
        <f ca="1">L187+L188</f>
        <v>23500</v>
      </c>
      <c r="M186" s="132">
        <f ca="1">M187+M188</f>
        <v>15500</v>
      </c>
      <c r="N186" s="132">
        <f ca="1">N187+N188</f>
        <v>2000</v>
      </c>
      <c r="O186" s="132">
        <f t="shared" ref="O186:O194" ca="1" si="59">IF(L186&gt;0,N186*100/L186,0)</f>
        <v>8.5106382978723403</v>
      </c>
      <c r="P186" s="132">
        <f t="shared" ref="P186:P194" ca="1" si="60">IF(M186&gt;0,N186*100/M186,0)</f>
        <v>12.903225806451612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t="shared" ref="T186:T194" ca="1" si="61">IF(Q186&gt;0,S186*100/Q186,0)</f>
        <v>0</v>
      </c>
      <c r="U186" s="132">
        <f t="shared" ref="U186:U194" ca="1" si="62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468">
        <f t="shared" ref="L187:N188" si="63">L190+L193</f>
        <v>0</v>
      </c>
      <c r="M187" s="49">
        <f t="shared" si="63"/>
        <v>0</v>
      </c>
      <c r="N187" s="49">
        <f t="shared" si="63"/>
        <v>0</v>
      </c>
      <c r="O187" s="49">
        <f t="shared" si="59"/>
        <v>0</v>
      </c>
      <c r="P187" s="49">
        <f t="shared" si="60"/>
        <v>0</v>
      </c>
      <c r="Q187" s="49">
        <f t="shared" ref="Q187:S188" si="64">Q190+Q193</f>
        <v>0</v>
      </c>
      <c r="R187" s="49">
        <f t="shared" si="64"/>
        <v>0</v>
      </c>
      <c r="S187" s="49">
        <f t="shared" si="64"/>
        <v>0</v>
      </c>
      <c r="T187" s="49">
        <f t="shared" si="61"/>
        <v>0</v>
      </c>
      <c r="U187" s="49">
        <f t="shared" si="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67">
        <f t="shared" ca="1" si="63"/>
        <v>23500</v>
      </c>
      <c r="M188" s="47">
        <f t="shared" ca="1" si="63"/>
        <v>15500</v>
      </c>
      <c r="N188" s="47">
        <f t="shared" ca="1" si="63"/>
        <v>2000</v>
      </c>
      <c r="O188" s="47">
        <f t="shared" ca="1" si="59"/>
        <v>8.5106382978723403</v>
      </c>
      <c r="P188" s="47">
        <f t="shared" ca="1" si="60"/>
        <v>12.903225806451612</v>
      </c>
      <c r="Q188" s="47">
        <f t="shared" ca="1" si="64"/>
        <v>28000</v>
      </c>
      <c r="R188" s="47">
        <f t="shared" ca="1" si="64"/>
        <v>28000</v>
      </c>
      <c r="S188" s="47">
        <f t="shared" ca="1" si="64"/>
        <v>0</v>
      </c>
      <c r="T188" s="47">
        <f t="shared" ca="1" si="61"/>
        <v>0</v>
      </c>
      <c r="U188" s="47">
        <f t="shared" ca="1" si="62"/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67">
        <f ca="1">L190+L191</f>
        <v>23500</v>
      </c>
      <c r="M189" s="47">
        <f ca="1">M190+M191</f>
        <v>15500</v>
      </c>
      <c r="N189" s="47">
        <f ca="1">N190+N191</f>
        <v>2000</v>
      </c>
      <c r="O189" s="47">
        <f t="shared" ca="1" si="59"/>
        <v>8.5106382978723403</v>
      </c>
      <c r="P189" s="47">
        <f t="shared" ca="1" si="60"/>
        <v>12.903225806451612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t="shared" ca="1" si="61"/>
        <v>0</v>
      </c>
      <c r="U189" s="47">
        <f t="shared" ca="1" si="62"/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468">
        <v>0</v>
      </c>
      <c r="M190" s="49">
        <v>0</v>
      </c>
      <c r="N190" s="49">
        <v>0</v>
      </c>
      <c r="O190" s="49">
        <f t="shared" si="59"/>
        <v>0</v>
      </c>
      <c r="P190" s="49">
        <f t="shared" si="60"/>
        <v>0</v>
      </c>
      <c r="Q190" s="49">
        <v>0</v>
      </c>
      <c r="R190" s="49">
        <v>0</v>
      </c>
      <c r="S190" s="49">
        <v>0</v>
      </c>
      <c r="T190" s="49">
        <f t="shared" si="61"/>
        <v>0</v>
      </c>
      <c r="U190" s="49">
        <f t="shared" si="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67">
        <f ca="1">IFERROR(__xludf.DUMMYFUNCTION("IMPORTRANGE(""https://docs.google.com/spreadsheets/d/1-uDff_7J0KD5mKrp0Vvzr7lt3OU09vwQwhkpOPPYv2Y/edit?usp=sharing"",""งบพรบ!CU82"")"),23500)</f>
        <v>23500</v>
      </c>
      <c r="M191" s="47">
        <f ca="1">IFERROR(__xludf.DUMMYFUNCTION("IMPORTRANGE(""https://docs.google.com/spreadsheets/d/1-uDff_7J0KD5mKrp0Vvzr7lt3OU09vwQwhkpOPPYv2Y/edit?usp=sharing"",""งบพรบ!CZ82"")"),15500)</f>
        <v>15500</v>
      </c>
      <c r="N191" s="47">
        <f ca="1">IFERROR(__xludf.DUMMYFUNCTION("IMPORTRANGE(""https://docs.google.com/spreadsheets/d/1-uDff_7J0KD5mKrp0Vvzr7lt3OU09vwQwhkpOPPYv2Y/edit?usp=sharing"",""งบพรบ!DB82"")"),2000)</f>
        <v>2000</v>
      </c>
      <c r="O191" s="47">
        <f t="shared" ca="1" si="59"/>
        <v>8.5106382978723403</v>
      </c>
      <c r="P191" s="47">
        <f t="shared" ca="1" si="60"/>
        <v>12.903225806451612</v>
      </c>
      <c r="Q191" s="47">
        <f ca="1">IFERROR(__xludf.DUMMYFUNCTION("IMPORTRANGE(""https://docs.google.com/spreadsheets/d/1ItG2mGa2ceCfYo0BwxsXqNm01IGEUdYcSSLTEv9YCik/edit?usp=sharing"",""เบิกจ่ายกองทุน!AV82"")"),28000)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IFERROR(__xludf.DUMMYFUNCTION("IMPORTRANGE(""https://docs.google.com/spreadsheets/d/1ItG2mGa2ceCfYo0BwxsXqNm01IGEUdYcSSLTEv9YCik/edit?usp=sharing"",""เบิกจ่ายกองทุน!AW82"")"),28000)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IFERROR(__xludf.DUMMYFUNCTION("IMPORTRANGE(""https://docs.google.com/spreadsheets/d/1ItG2mGa2ceCfYo0BwxsXqNm01IGEUdYcSSLTEv9YCik/edit?usp=sharing"",""เบิกจ่ายกองทุน!AX82"")"),0)</f>
        <v>0</v>
      </c>
      <c r="T191" s="47">
        <f t="shared" ca="1" si="61"/>
        <v>0</v>
      </c>
      <c r="U191" s="47">
        <f t="shared" ca="1" si="62"/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67">
        <f ca="1">L193+L194</f>
        <v>0</v>
      </c>
      <c r="M192" s="47">
        <f ca="1">M193+M194</f>
        <v>0</v>
      </c>
      <c r="N192" s="47">
        <f ca="1">N193+N194</f>
        <v>0</v>
      </c>
      <c r="O192" s="47">
        <f t="shared" ca="1" si="59"/>
        <v>0</v>
      </c>
      <c r="P192" s="47">
        <f t="shared" ca="1" si="60"/>
        <v>0</v>
      </c>
      <c r="Q192" s="47">
        <f>Q193+Q194</f>
        <v>0</v>
      </c>
      <c r="R192" s="47">
        <f>R193+R194</f>
        <v>0</v>
      </c>
      <c r="S192" s="47">
        <f>S193+S194</f>
        <v>0</v>
      </c>
      <c r="T192" s="47">
        <f t="shared" si="61"/>
        <v>0</v>
      </c>
      <c r="U192" s="47">
        <f t="shared" si="62"/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468">
        <v>0</v>
      </c>
      <c r="M193" s="49">
        <v>0</v>
      </c>
      <c r="N193" s="49">
        <v>0</v>
      </c>
      <c r="O193" s="49">
        <f t="shared" si="59"/>
        <v>0</v>
      </c>
      <c r="P193" s="49">
        <f t="shared" si="60"/>
        <v>0</v>
      </c>
      <c r="Q193" s="49">
        <v>0</v>
      </c>
      <c r="R193" s="49">
        <v>0</v>
      </c>
      <c r="S193" s="49">
        <v>0</v>
      </c>
      <c r="T193" s="49">
        <f t="shared" si="61"/>
        <v>0</v>
      </c>
      <c r="U193" s="49">
        <f t="shared" si="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67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t="shared" ca="1" si="59"/>
        <v>0</v>
      </c>
      <c r="P194" s="47">
        <f t="shared" ca="1" si="60"/>
        <v>0</v>
      </c>
      <c r="Q194" s="47">
        <v>0</v>
      </c>
      <c r="R194" s="47">
        <v>0</v>
      </c>
      <c r="S194" s="47">
        <v>0</v>
      </c>
      <c r="T194" s="47">
        <f t="shared" si="61"/>
        <v>0</v>
      </c>
      <c r="U194" s="47">
        <f t="shared" si="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0</v>
      </c>
      <c r="K195" s="229">
        <f ca="1">IF(I195&gt;0,J195*100/I195,0)</f>
        <v>0</v>
      </c>
      <c r="L195" s="585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669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469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672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129" t="s">
        <v>18</v>
      </c>
      <c r="D197" s="492" t="s">
        <v>38</v>
      </c>
      <c r="E197" s="141"/>
      <c r="F197" s="141"/>
      <c r="G197" s="142"/>
      <c r="H197" s="143"/>
      <c r="I197" s="45"/>
      <c r="J197" s="45"/>
      <c r="K197" s="46"/>
      <c r="L197" s="465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0</v>
      </c>
      <c r="K198" s="47">
        <f ca="1">IF(I198&gt;0,J198*100/I198,0)</f>
        <v>0</v>
      </c>
      <c r="L198" s="465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465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465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465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585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669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469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671">
        <f ca="1">Q204+Q205+Q206+Q207</f>
        <v>28000</v>
      </c>
      <c r="R203" s="177"/>
      <c r="S203" s="670">
        <f>S204+S205+S206+S207</f>
        <v>0</v>
      </c>
      <c r="T203" s="670">
        <f ca="1">IF(Q203&gt;0,S203*100/Q203,0)</f>
        <v>0</v>
      </c>
      <c r="U203" s="670">
        <f>IF(R203&gt;0,S203*100/R203,0)</f>
        <v>0</v>
      </c>
    </row>
    <row r="204" spans="1:21" ht="18.75" x14ac:dyDescent="0.25">
      <c r="A204" s="128"/>
      <c r="B204" s="159"/>
      <c r="C204" s="41"/>
      <c r="D204" s="668" t="s">
        <v>309</v>
      </c>
      <c r="E204" s="41"/>
      <c r="F204" s="41"/>
      <c r="G204" s="43"/>
      <c r="H204" s="134" t="s">
        <v>14</v>
      </c>
      <c r="I204" s="135"/>
      <c r="J204" s="135"/>
      <c r="K204" s="136"/>
      <c r="L204" s="467">
        <f ca="1">IFERROR(__xludf.DUMMYFUNCTION("IMPORTRANGE(""https://docs.google.com/spreadsheets/d/1eHaY18a8A9IcSdp1K8H6x8fbOy06t2VsZHhMHf-1x7Y/edit?usp=sharing"",""แผน!AG82"")"),1000)</f>
        <v>1000</v>
      </c>
      <c r="M204" s="46"/>
      <c r="N204" s="646">
        <v>0</v>
      </c>
      <c r="O204" s="136"/>
      <c r="P204" s="46"/>
      <c r="Q204" s="467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307</v>
      </c>
      <c r="E205" s="41"/>
      <c r="F205" s="41"/>
      <c r="G205" s="43"/>
      <c r="H205" s="44" t="s">
        <v>14</v>
      </c>
      <c r="I205" s="45"/>
      <c r="J205" s="45"/>
      <c r="K205" s="46"/>
      <c r="L205" s="467">
        <f ca="1">IFERROR(__xludf.DUMMYFUNCTION("IMPORTRANGE(""https://docs.google.com/spreadsheets/d/1eHaY18a8A9IcSdp1K8H6x8fbOy06t2VsZHhMHf-1x7Y/edit?usp=sharing"",""แผน!AH82"")"),0)</f>
        <v>0</v>
      </c>
      <c r="M205" s="46"/>
      <c r="N205" s="646">
        <v>0</v>
      </c>
      <c r="O205" s="136"/>
      <c r="P205" s="46"/>
      <c r="Q205" s="467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67">
        <f ca="1">IFERROR(__xludf.DUMMYFUNCTION("IMPORTRANGE(""https://docs.google.com/spreadsheets/d/1eHaY18a8A9IcSdp1K8H6x8fbOy06t2VsZHhMHf-1x7Y/edit?usp=sharing"",""แผน!AI82"")"),0)</f>
        <v>0</v>
      </c>
      <c r="M206" s="46"/>
      <c r="N206" s="646">
        <v>0</v>
      </c>
      <c r="O206" s="136"/>
      <c r="P206" s="46"/>
      <c r="Q206" s="467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646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67">
        <f ca="1">IFERROR(__xludf.DUMMYFUNCTION("IMPORTRANGE(""https://docs.google.com/spreadsheets/d/1eHaY18a8A9IcSdp1K8H6x8fbOy06t2VsZHhMHf-1x7Y/edit?usp=sharing"",""แผน!AJ82"")"),4000)</f>
        <v>4000</v>
      </c>
      <c r="M207" s="46"/>
      <c r="N207" s="646">
        <v>0</v>
      </c>
      <c r="O207" s="136"/>
      <c r="P207" s="46"/>
      <c r="Q207" s="467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492" t="s">
        <v>38</v>
      </c>
      <c r="E208" s="141"/>
      <c r="F208" s="141"/>
      <c r="G208" s="142"/>
      <c r="H208" s="143"/>
      <c r="I208" s="135"/>
      <c r="J208" s="135"/>
      <c r="K208" s="136"/>
      <c r="L208" s="488"/>
      <c r="M208" s="136"/>
      <c r="N208" s="136"/>
      <c r="O208" s="136"/>
      <c r="P208" s="136"/>
      <c r="Q208" s="48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0</v>
      </c>
      <c r="K209" s="153">
        <f ca="1">IF(I209&gt;0,J209*100/I209,0)</f>
        <v>0</v>
      </c>
      <c r="L209" s="465"/>
      <c r="M209" s="46"/>
      <c r="N209" s="46"/>
      <c r="O209" s="46"/>
      <c r="P209" s="46"/>
      <c r="Q209" s="465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5"/>
      <c r="M210" s="46"/>
      <c r="N210" s="46"/>
      <c r="O210" s="46"/>
      <c r="P210" s="46"/>
      <c r="Q210" s="465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0</v>
      </c>
      <c r="K211" s="153">
        <f ca="1">IF(I211&gt;0,J211*100/I211,0)</f>
        <v>0</v>
      </c>
      <c r="L211" s="465"/>
      <c r="M211" s="46"/>
      <c r="N211" s="46"/>
      <c r="O211" s="46"/>
      <c r="P211" s="46"/>
      <c r="Q211" s="465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465"/>
      <c r="M212" s="46"/>
      <c r="N212" s="46"/>
      <c r="O212" s="46"/>
      <c r="P212" s="46"/>
      <c r="Q212" s="465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585"/>
      <c r="M213" s="230"/>
      <c r="N213" s="230"/>
      <c r="O213" s="230"/>
      <c r="P213" s="230"/>
      <c r="Q213" s="585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669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469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469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67">
        <f ca="1">IFERROR(__xludf.DUMMYFUNCTION("IMPORTRANGE(""https://docs.google.com/spreadsheets/d/1eHaY18a8A9IcSdp1K8H6x8fbOy06t2VsZHhMHf-1x7Y/edit?usp=sharing"",""แผน!AM82"")"),0)</f>
        <v>0</v>
      </c>
      <c r="M215" s="46"/>
      <c r="N215" s="646">
        <v>0</v>
      </c>
      <c r="O215" s="136"/>
      <c r="P215" s="46"/>
      <c r="Q215" s="467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67">
        <f ca="1">IFERROR(__xludf.DUMMYFUNCTION("IMPORTRANGE(""https://docs.google.com/spreadsheets/d/1eHaY18a8A9IcSdp1K8H6x8fbOy06t2VsZHhMHf-1x7Y/edit?usp=sharing"",""แผน!AN82"")"),0)</f>
        <v>0</v>
      </c>
      <c r="M216" s="46"/>
      <c r="N216" s="646">
        <v>0</v>
      </c>
      <c r="O216" s="136"/>
      <c r="P216" s="46"/>
      <c r="Q216" s="467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67">
        <f ca="1">IFERROR(__xludf.DUMMYFUNCTION("IMPORTRANGE(""https://docs.google.com/spreadsheets/d/1eHaY18a8A9IcSdp1K8H6x8fbOy06t2VsZHhMHf-1x7Y/edit?usp=sharing"",""แผน!AO82"")"),0)</f>
        <v>0</v>
      </c>
      <c r="M217" s="46"/>
      <c r="N217" s="646">
        <v>0</v>
      </c>
      <c r="O217" s="136"/>
      <c r="P217" s="46"/>
      <c r="Q217" s="467">
        <f ca="1">IFERROR(__xludf.DUMMYFUNCTION("IMPORTRANGE(""https://docs.google.com/spreadsheets/d/1eHaY18a8A9IcSdp1K8H6x8fbOy06t2VsZHhMHf-1x7Y/edit?usp=sharing"",""แผน!LY82"")"),0)</f>
        <v>0</v>
      </c>
      <c r="R217" s="46"/>
      <c r="S217" s="646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492" t="s">
        <v>38</v>
      </c>
      <c r="E218" s="141"/>
      <c r="F218" s="141"/>
      <c r="G218" s="142"/>
      <c r="H218" s="143"/>
      <c r="I218" s="135"/>
      <c r="J218" s="45"/>
      <c r="K218" s="46"/>
      <c r="L218" s="465"/>
      <c r="M218" s="46"/>
      <c r="N218" s="46"/>
      <c r="O218" s="136"/>
      <c r="P218" s="136"/>
      <c r="Q218" s="465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465"/>
      <c r="M219" s="46"/>
      <c r="N219" s="46"/>
      <c r="O219" s="46"/>
      <c r="P219" s="46"/>
      <c r="Q219" s="465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465"/>
      <c r="M220" s="46"/>
      <c r="N220" s="46"/>
      <c r="O220" s="46"/>
      <c r="P220" s="46"/>
      <c r="Q220" s="465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585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669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469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668" t="s">
        <v>308</v>
      </c>
      <c r="E223" s="41"/>
      <c r="F223" s="41"/>
      <c r="G223" s="43"/>
      <c r="H223" s="134" t="s">
        <v>14</v>
      </c>
      <c r="I223" s="135"/>
      <c r="J223" s="135"/>
      <c r="K223" s="136"/>
      <c r="L223" s="467">
        <f ca="1">IFERROR(__xludf.DUMMYFUNCTION("IMPORTRANGE(""https://docs.google.com/spreadsheets/d/1eHaY18a8A9IcSdp1K8H6x8fbOy06t2VsZHhMHf-1x7Y/edit?usp=sharing"",""แผน!AR82"")"),2500)</f>
        <v>2500</v>
      </c>
      <c r="M223" s="46"/>
      <c r="N223" s="646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307</v>
      </c>
      <c r="E224" s="41"/>
      <c r="F224" s="41"/>
      <c r="G224" s="43"/>
      <c r="H224" s="134" t="s">
        <v>14</v>
      </c>
      <c r="I224" s="45"/>
      <c r="J224" s="45"/>
      <c r="K224" s="46"/>
      <c r="L224" s="467">
        <f ca="1">IFERROR(__xludf.DUMMYFUNCTION("IMPORTRANGE(""https://docs.google.com/spreadsheets/d/1eHaY18a8A9IcSdp1K8H6x8fbOy06t2VsZHhMHf-1x7Y/edit?usp=sharing"",""แผน!AS82"")"),2000)</f>
        <v>2000</v>
      </c>
      <c r="M224" s="46"/>
      <c r="N224" s="646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467">
        <f ca="1">IFERROR(__xludf.DUMMYFUNCTION("IMPORTRANGE(""https://docs.google.com/spreadsheets/d/1eHaY18a8A9IcSdp1K8H6x8fbOy06t2VsZHhMHf-1x7Y/edit?usp=sharing"",""แผน!AT82"")"),0)</f>
        <v>0</v>
      </c>
      <c r="M225" s="46"/>
      <c r="N225" s="646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162" t="s">
        <v>18</v>
      </c>
      <c r="D226" s="492" t="s">
        <v>38</v>
      </c>
      <c r="E226" s="141"/>
      <c r="F226" s="141"/>
      <c r="G226" s="142"/>
      <c r="H226" s="143"/>
      <c r="I226" s="135"/>
      <c r="J226" s="135"/>
      <c r="K226" s="136"/>
      <c r="L226" s="48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48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0</v>
      </c>
      <c r="K228" s="153">
        <f ca="1">IF(I228&gt;0,J228*100/I228,0)</f>
        <v>0</v>
      </c>
      <c r="L228" s="48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0</v>
      </c>
      <c r="K229" s="153">
        <f ca="1">IF(I229&gt;0,J229*100/I229,0)</f>
        <v>0</v>
      </c>
      <c r="L229" s="465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465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67"/>
      <c r="B231" s="666"/>
      <c r="C231" s="652" t="s">
        <v>105</v>
      </c>
      <c r="D231" s="665"/>
      <c r="E231" s="665"/>
      <c r="F231" s="665"/>
      <c r="G231" s="664"/>
      <c r="H231" s="651" t="s">
        <v>35</v>
      </c>
      <c r="I231" s="650">
        <f ca="1">I242+I253</f>
        <v>0</v>
      </c>
      <c r="J231" s="650">
        <f>J242+J253</f>
        <v>0</v>
      </c>
      <c r="K231" s="649">
        <f ca="1">IF(I231&gt;0,J231*100/I231,0)</f>
        <v>0</v>
      </c>
      <c r="L231" s="585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541"/>
      <c r="B232" s="540"/>
      <c r="C232" s="648" t="s">
        <v>18</v>
      </c>
      <c r="D232" s="490" t="s">
        <v>19</v>
      </c>
      <c r="E232" s="540"/>
      <c r="F232" s="540"/>
      <c r="G232" s="539"/>
      <c r="H232" s="384" t="s">
        <v>14</v>
      </c>
      <c r="I232" s="538"/>
      <c r="J232" s="538"/>
      <c r="K232" s="537"/>
      <c r="L232" s="663">
        <f ca="1">L243+L254</f>
        <v>0</v>
      </c>
      <c r="M232" s="46"/>
      <c r="N232" s="662">
        <f>N243+N254</f>
        <v>0</v>
      </c>
      <c r="O232" s="46"/>
      <c r="P232" s="46"/>
      <c r="Q232" s="46"/>
      <c r="R232" s="46"/>
      <c r="S232" s="46"/>
      <c r="T232" s="46"/>
      <c r="U232" s="46"/>
    </row>
    <row r="233" spans="1:21" ht="18.75" hidden="1" x14ac:dyDescent="0.25">
      <c r="A233" s="541"/>
      <c r="B233" s="659"/>
      <c r="C233" s="540"/>
      <c r="D233" s="157" t="s">
        <v>86</v>
      </c>
      <c r="E233" s="540"/>
      <c r="F233" s="540"/>
      <c r="G233" s="539"/>
      <c r="H233" s="160" t="s">
        <v>14</v>
      </c>
      <c r="I233" s="538"/>
      <c r="J233" s="538"/>
      <c r="K233" s="537"/>
      <c r="L233" s="468">
        <f ca="1">L244+L255</f>
        <v>0</v>
      </c>
      <c r="M233" s="46"/>
      <c r="N233" s="49">
        <f>N244+N255</f>
        <v>0</v>
      </c>
      <c r="O233" s="46"/>
      <c r="P233" s="46"/>
      <c r="Q233" s="661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660"/>
      <c r="B234" s="659"/>
      <c r="C234" s="659"/>
      <c r="D234" s="157" t="s">
        <v>88</v>
      </c>
      <c r="E234" s="540"/>
      <c r="F234" s="540"/>
      <c r="G234" s="539"/>
      <c r="H234" s="160" t="s">
        <v>14</v>
      </c>
      <c r="I234" s="545"/>
      <c r="J234" s="545"/>
      <c r="K234" s="544"/>
      <c r="L234" s="468">
        <f ca="1">L245+L256</f>
        <v>0</v>
      </c>
      <c r="M234" s="46"/>
      <c r="N234" s="49">
        <f>N245+N256</f>
        <v>0</v>
      </c>
      <c r="O234" s="46"/>
      <c r="P234" s="46"/>
      <c r="Q234" s="467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9"/>
      <c r="C235" s="659"/>
      <c r="D235" s="157" t="s">
        <v>106</v>
      </c>
      <c r="E235" s="540"/>
      <c r="F235" s="540"/>
      <c r="G235" s="539"/>
      <c r="H235" s="160" t="s">
        <v>14</v>
      </c>
      <c r="I235" s="545"/>
      <c r="J235" s="545"/>
      <c r="K235" s="544"/>
      <c r="L235" s="468">
        <f ca="1">L246+L257</f>
        <v>0</v>
      </c>
      <c r="M235" s="46"/>
      <c r="N235" s="49">
        <f>N246+N257</f>
        <v>0</v>
      </c>
      <c r="O235" s="46"/>
      <c r="P235" s="46"/>
      <c r="Q235" s="467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9"/>
      <c r="C236" s="659"/>
      <c r="D236" s="157" t="s">
        <v>107</v>
      </c>
      <c r="E236" s="540"/>
      <c r="F236" s="540"/>
      <c r="G236" s="539"/>
      <c r="H236" s="160" t="s">
        <v>14</v>
      </c>
      <c r="I236" s="545"/>
      <c r="J236" s="545"/>
      <c r="K236" s="544"/>
      <c r="L236" s="468">
        <f ca="1">L247+L258</f>
        <v>0</v>
      </c>
      <c r="M236" s="46"/>
      <c r="N236" s="49">
        <f>N247+N258</f>
        <v>0</v>
      </c>
      <c r="O236" s="46"/>
      <c r="P236" s="46"/>
      <c r="Q236" s="467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56"/>
      <c r="B237" s="655"/>
      <c r="C237" s="645" t="s">
        <v>18</v>
      </c>
      <c r="D237" s="501" t="s">
        <v>38</v>
      </c>
      <c r="E237" s="658"/>
      <c r="F237" s="658"/>
      <c r="G237" s="657"/>
      <c r="H237" s="653"/>
      <c r="I237" s="538"/>
      <c r="J237" s="545"/>
      <c r="K237" s="544"/>
      <c r="L237" s="465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656"/>
      <c r="B238" s="655"/>
      <c r="C238" s="655"/>
      <c r="D238" s="190" t="s">
        <v>108</v>
      </c>
      <c r="E238" s="654"/>
      <c r="F238" s="654"/>
      <c r="G238" s="653"/>
      <c r="H238" s="642" t="s">
        <v>35</v>
      </c>
      <c r="I238" s="327">
        <f ca="1">I249+I260</f>
        <v>0</v>
      </c>
      <c r="J238" s="327">
        <f>J249+J260</f>
        <v>0</v>
      </c>
      <c r="K238" s="49">
        <f ca="1">IF(I238&gt;0,J238*100/I238,0)</f>
        <v>0</v>
      </c>
      <c r="L238" s="465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56"/>
      <c r="B239" s="655"/>
      <c r="C239" s="655"/>
      <c r="D239" s="644" t="s">
        <v>43</v>
      </c>
      <c r="E239" s="654"/>
      <c r="F239" s="654"/>
      <c r="G239" s="653"/>
      <c r="H239" s="653"/>
      <c r="I239" s="545"/>
      <c r="J239" s="545"/>
      <c r="K239" s="544"/>
      <c r="L239" s="465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656"/>
      <c r="B240" s="655"/>
      <c r="C240" s="655"/>
      <c r="D240" s="655"/>
      <c r="E240" s="643" t="s">
        <v>109</v>
      </c>
      <c r="F240" s="654"/>
      <c r="G240" s="653"/>
      <c r="H240" s="642" t="s">
        <v>35</v>
      </c>
      <c r="I240" s="327">
        <f>I251+I262</f>
        <v>0</v>
      </c>
      <c r="J240" s="327">
        <f>J251+J262</f>
        <v>0</v>
      </c>
      <c r="K240" s="49">
        <f>IF(I240&gt;0,J240*100/I240,0)</f>
        <v>0</v>
      </c>
      <c r="L240" s="465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56"/>
      <c r="B241" s="655"/>
      <c r="C241" s="655"/>
      <c r="D241" s="655"/>
      <c r="E241" s="643" t="s">
        <v>110</v>
      </c>
      <c r="F241" s="654"/>
      <c r="G241" s="653"/>
      <c r="H241" s="642" t="s">
        <v>61</v>
      </c>
      <c r="I241" s="327">
        <f>I252+I263</f>
        <v>0</v>
      </c>
      <c r="J241" s="327">
        <f>J252+J263</f>
        <v>0</v>
      </c>
      <c r="K241" s="49">
        <f>IF(I241&gt;0,J241*100/I241,0)</f>
        <v>0</v>
      </c>
      <c r="L241" s="465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652" t="s">
        <v>111</v>
      </c>
      <c r="D242" s="225"/>
      <c r="E242" s="225"/>
      <c r="F242" s="225"/>
      <c r="G242" s="226"/>
      <c r="H242" s="651" t="s">
        <v>35</v>
      </c>
      <c r="I242" s="650">
        <f ca="1">I249</f>
        <v>0</v>
      </c>
      <c r="J242" s="650">
        <f>J249</f>
        <v>0</v>
      </c>
      <c r="K242" s="649">
        <f ca="1">IF(I242&gt;0,J242*100/I242,0)</f>
        <v>0</v>
      </c>
      <c r="L242" s="585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648" t="s">
        <v>18</v>
      </c>
      <c r="D243" s="490" t="s">
        <v>19</v>
      </c>
      <c r="E243" s="41"/>
      <c r="F243" s="41"/>
      <c r="G243" s="43"/>
      <c r="H243" s="384" t="s">
        <v>14</v>
      </c>
      <c r="I243" s="135"/>
      <c r="J243" s="135"/>
      <c r="K243" s="136"/>
      <c r="L243" s="469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467">
        <f ca="1">IFERROR(__xludf.DUMMYFUNCTION("IMPORTRANGE(""https://docs.google.com/spreadsheets/d/1eHaY18a8A9IcSdp1K8H6x8fbOy06t2VsZHhMHf-1x7Y/edit?usp=sharing"",""แผน!AX82"")"),0)</f>
        <v>0</v>
      </c>
      <c r="M244" s="46"/>
      <c r="N244" s="646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467">
        <f ca="1">IFERROR(__xludf.DUMMYFUNCTION("IMPORTRANGE(""https://docs.google.com/spreadsheets/d/1eHaY18a8A9IcSdp1K8H6x8fbOy06t2VsZHhMHf-1x7Y/edit?usp=sharing"",""แผน!AY82"")"),0)</f>
        <v>0</v>
      </c>
      <c r="M245" s="46"/>
      <c r="N245" s="646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467">
        <f ca="1">IFERROR(__xludf.DUMMYFUNCTION("IMPORTRANGE(""https://docs.google.com/spreadsheets/d/1eHaY18a8A9IcSdp1K8H6x8fbOy06t2VsZHhMHf-1x7Y/edit?usp=sharing"",""แผน!AZ82"")"),0)</f>
        <v>0</v>
      </c>
      <c r="M246" s="46"/>
      <c r="N246" s="646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467">
        <f ca="1">IFERROR(__xludf.DUMMYFUNCTION("IMPORTRANGE(""https://docs.google.com/spreadsheets/d/1eHaY18a8A9IcSdp1K8H6x8fbOy06t2VsZHhMHf-1x7Y/edit?usp=sharing"",""แผน!BA82"")"),0)</f>
        <v>0</v>
      </c>
      <c r="M247" s="46"/>
      <c r="N247" s="646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645" t="s">
        <v>18</v>
      </c>
      <c r="D248" s="501" t="s">
        <v>38</v>
      </c>
      <c r="E248" s="141"/>
      <c r="F248" s="141"/>
      <c r="G248" s="142"/>
      <c r="H248" s="143"/>
      <c r="I248" s="135"/>
      <c r="J248" s="45"/>
      <c r="K248" s="46"/>
      <c r="L248" s="465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642" t="s">
        <v>35</v>
      </c>
      <c r="I249" s="327">
        <f ca="1">IFERROR(__xludf.DUMMYFUNCTION("IMPORTRANGE(""https://docs.google.com/spreadsheets/d/1eHaY18a8A9IcSdp1K8H6x8fbOy06t2VsZHhMHf-1x7Y/edit?usp=sharing"",""แผน!BG82"")"),0)</f>
        <v>0</v>
      </c>
      <c r="J249" s="641">
        <v>0</v>
      </c>
      <c r="K249" s="49">
        <f ca="1">IF(I249&gt;0,J249*100/I249,0)</f>
        <v>0</v>
      </c>
      <c r="L249" s="465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644" t="s">
        <v>43</v>
      </c>
      <c r="E250" s="145"/>
      <c r="F250" s="145"/>
      <c r="G250" s="143"/>
      <c r="H250" s="143"/>
      <c r="I250" s="45"/>
      <c r="J250" s="45"/>
      <c r="K250" s="46"/>
      <c r="L250" s="465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643" t="s">
        <v>109</v>
      </c>
      <c r="F251" s="145"/>
      <c r="G251" s="143"/>
      <c r="H251" s="642" t="s">
        <v>35</v>
      </c>
      <c r="I251" s="327">
        <v>0</v>
      </c>
      <c r="J251" s="641">
        <v>0</v>
      </c>
      <c r="K251" s="49">
        <f>IF(I251&gt;0,J251*100/I251,0)</f>
        <v>0</v>
      </c>
      <c r="L251" s="465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643" t="s">
        <v>110</v>
      </c>
      <c r="F252" s="145"/>
      <c r="G252" s="143"/>
      <c r="H252" s="642" t="s">
        <v>61</v>
      </c>
      <c r="I252" s="327">
        <v>0</v>
      </c>
      <c r="J252" s="641">
        <v>0</v>
      </c>
      <c r="K252" s="49">
        <f>IF(I252&gt;0,J252*100/I252,0)</f>
        <v>0</v>
      </c>
      <c r="L252" s="465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652" t="s">
        <v>112</v>
      </c>
      <c r="D253" s="225"/>
      <c r="E253" s="225"/>
      <c r="F253" s="225"/>
      <c r="G253" s="226"/>
      <c r="H253" s="651" t="s">
        <v>35</v>
      </c>
      <c r="I253" s="650">
        <f ca="1">I260</f>
        <v>0</v>
      </c>
      <c r="J253" s="650">
        <f>J260</f>
        <v>0</v>
      </c>
      <c r="K253" s="649">
        <f ca="1">IF(I253&gt;0,J253*100/I253,0)</f>
        <v>0</v>
      </c>
      <c r="L253" s="585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648" t="s">
        <v>18</v>
      </c>
      <c r="D254" s="647" t="s">
        <v>19</v>
      </c>
      <c r="E254" s="41"/>
      <c r="F254" s="41"/>
      <c r="G254" s="43"/>
      <c r="H254" s="384" t="s">
        <v>14</v>
      </c>
      <c r="I254" s="135"/>
      <c r="J254" s="135"/>
      <c r="K254" s="136"/>
      <c r="L254" s="469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467">
        <f ca="1">IFERROR(__xludf.DUMMYFUNCTION("IMPORTRANGE(""https://docs.google.com/spreadsheets/d/1eHaY18a8A9IcSdp1K8H6x8fbOy06t2VsZHhMHf-1x7Y/edit?usp=sharing"",""แผน!BB82"")"),0)</f>
        <v>0</v>
      </c>
      <c r="M255" s="46"/>
      <c r="N255" s="646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467">
        <f ca="1">IFERROR(__xludf.DUMMYFUNCTION("IMPORTRANGE(""https://docs.google.com/spreadsheets/d/1eHaY18a8A9IcSdp1K8H6x8fbOy06t2VsZHhMHf-1x7Y/edit?usp=sharing"",""แผน!BC82"")"),0)</f>
        <v>0</v>
      </c>
      <c r="M256" s="46"/>
      <c r="N256" s="646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467">
        <f ca="1">IFERROR(__xludf.DUMMYFUNCTION("IMPORTRANGE(""https://docs.google.com/spreadsheets/d/1eHaY18a8A9IcSdp1K8H6x8fbOy06t2VsZHhMHf-1x7Y/edit?usp=sharing"",""แผน!BD82"")"),0)</f>
        <v>0</v>
      </c>
      <c r="M257" s="46"/>
      <c r="N257" s="646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467">
        <f ca="1">IFERROR(__xludf.DUMMYFUNCTION("IMPORTRANGE(""https://docs.google.com/spreadsheets/d/1eHaY18a8A9IcSdp1K8H6x8fbOy06t2VsZHhMHf-1x7Y/edit?usp=sharing"",""แผน!BE82"")"),0)</f>
        <v>0</v>
      </c>
      <c r="M258" s="46"/>
      <c r="N258" s="646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645" t="s">
        <v>18</v>
      </c>
      <c r="D259" s="501" t="s">
        <v>38</v>
      </c>
      <c r="E259" s="141"/>
      <c r="F259" s="141"/>
      <c r="G259" s="142"/>
      <c r="H259" s="143"/>
      <c r="I259" s="135"/>
      <c r="J259" s="45"/>
      <c r="K259" s="46"/>
      <c r="L259" s="465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642" t="s">
        <v>35</v>
      </c>
      <c r="I260" s="327">
        <f ca="1">IFERROR(__xludf.DUMMYFUNCTION("IMPORTRANGE(""https://docs.google.com/spreadsheets/d/1eHaY18a8A9IcSdp1K8H6x8fbOy06t2VsZHhMHf-1x7Y/edit?usp=sharing"",""แผน!BH82"")"),0)</f>
        <v>0</v>
      </c>
      <c r="J260" s="641">
        <v>0</v>
      </c>
      <c r="K260" s="49">
        <f ca="1">IF(I260&gt;0,J260*100/I260,0)</f>
        <v>0</v>
      </c>
      <c r="L260" s="465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644" t="s">
        <v>43</v>
      </c>
      <c r="E261" s="145"/>
      <c r="F261" s="145"/>
      <c r="G261" s="143"/>
      <c r="H261" s="143"/>
      <c r="I261" s="45"/>
      <c r="J261" s="45"/>
      <c r="K261" s="46"/>
      <c r="L261" s="465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643" t="s">
        <v>109</v>
      </c>
      <c r="F262" s="145"/>
      <c r="G262" s="143"/>
      <c r="H262" s="642" t="s">
        <v>35</v>
      </c>
      <c r="I262" s="45"/>
      <c r="J262" s="641">
        <v>0</v>
      </c>
      <c r="K262" s="49">
        <f>IF(I262&gt;0,J262*100/I262,0)</f>
        <v>0</v>
      </c>
      <c r="L262" s="465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643" t="s">
        <v>110</v>
      </c>
      <c r="F263" s="145"/>
      <c r="G263" s="143"/>
      <c r="H263" s="642" t="s">
        <v>61</v>
      </c>
      <c r="I263" s="45"/>
      <c r="J263" s="641">
        <v>0</v>
      </c>
      <c r="K263" s="49">
        <f>IF(I263&gt;0,J263*100/I263,0)</f>
        <v>0</v>
      </c>
      <c r="L263" s="465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40" t="s">
        <v>113</v>
      </c>
      <c r="B264" s="639"/>
      <c r="C264" s="639"/>
      <c r="D264" s="638"/>
      <c r="E264" s="638"/>
      <c r="F264" s="638"/>
      <c r="G264" s="637"/>
      <c r="H264" s="637"/>
      <c r="I264" s="636"/>
      <c r="J264" s="636"/>
      <c r="K264" s="634"/>
      <c r="L264" s="675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633"/>
      <c r="B265" s="632" t="s">
        <v>114</v>
      </c>
      <c r="C265" s="631"/>
      <c r="D265" s="530"/>
      <c r="E265" s="530"/>
      <c r="F265" s="530"/>
      <c r="G265" s="529"/>
      <c r="H265" s="630" t="s">
        <v>35</v>
      </c>
      <c r="I265" s="629">
        <f ca="1">I276</f>
        <v>22</v>
      </c>
      <c r="J265" s="629">
        <f>J276</f>
        <v>0</v>
      </c>
      <c r="K265" s="628">
        <f ca="1">IF(I265&gt;0,J265*100/I265,0)</f>
        <v>0</v>
      </c>
      <c r="L265" s="673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536"/>
      <c r="B266" s="525"/>
      <c r="C266" s="532" t="s">
        <v>18</v>
      </c>
      <c r="D266" s="547" t="s">
        <v>19</v>
      </c>
      <c r="E266" s="525"/>
      <c r="F266" s="525"/>
      <c r="G266" s="524"/>
      <c r="H266" s="546" t="s">
        <v>14</v>
      </c>
      <c r="I266" s="475"/>
      <c r="J266" s="475"/>
      <c r="K266" s="472"/>
      <c r="L266" s="469">
        <f ca="1">L267+L268</f>
        <v>0</v>
      </c>
      <c r="M266" s="132">
        <f ca="1">M267+M268</f>
        <v>22320</v>
      </c>
      <c r="N266" s="132">
        <f ca="1">N267+N268</f>
        <v>17320</v>
      </c>
      <c r="O266" s="132">
        <f t="shared" ref="O266:O274" ca="1" si="65">IF(L266&gt;0,N266*100/L266,0)</f>
        <v>0</v>
      </c>
      <c r="P266" s="132">
        <f t="shared" ref="P266:P274" ca="1" si="66">IF(M266&gt;0,N266*100/M266,0)</f>
        <v>77.598566308243733</v>
      </c>
      <c r="Q266" s="132">
        <f ca="1">Q267+Q268</f>
        <v>50660</v>
      </c>
      <c r="R266" s="132">
        <f ca="1">R267+R268</f>
        <v>50660</v>
      </c>
      <c r="S266" s="132">
        <f ca="1">S267+S268</f>
        <v>40010</v>
      </c>
      <c r="T266" s="132">
        <f t="shared" ref="T266:T274" ca="1" si="67">IF(Q266&gt;0,S266*100/Q266,0)</f>
        <v>78.977497039084085</v>
      </c>
      <c r="U266" s="132">
        <f t="shared" ref="U266:U274" ca="1" si="68">IF(R266&gt;0,S266*100/R266,0)</f>
        <v>78.977497039084085</v>
      </c>
    </row>
    <row r="267" spans="1:21" ht="18.75" hidden="1" x14ac:dyDescent="0.25">
      <c r="A267" s="541"/>
      <c r="B267" s="540"/>
      <c r="C267" s="540"/>
      <c r="D267" s="540"/>
      <c r="E267" s="157" t="s">
        <v>20</v>
      </c>
      <c r="F267" s="540"/>
      <c r="G267" s="539"/>
      <c r="H267" s="158" t="s">
        <v>14</v>
      </c>
      <c r="I267" s="545"/>
      <c r="J267" s="545"/>
      <c r="K267" s="544"/>
      <c r="L267" s="468">
        <f t="shared" ref="L267:N268" si="69">L270+L273</f>
        <v>0</v>
      </c>
      <c r="M267" s="49">
        <f t="shared" si="69"/>
        <v>0</v>
      </c>
      <c r="N267" s="49">
        <f t="shared" si="69"/>
        <v>0</v>
      </c>
      <c r="O267" s="49">
        <f t="shared" si="65"/>
        <v>0</v>
      </c>
      <c r="P267" s="49">
        <f t="shared" si="66"/>
        <v>0</v>
      </c>
      <c r="Q267" s="49">
        <f t="shared" ref="Q267:S268" si="70">Q270+Q273</f>
        <v>0</v>
      </c>
      <c r="R267" s="49">
        <f t="shared" si="70"/>
        <v>0</v>
      </c>
      <c r="S267" s="49">
        <f t="shared" si="70"/>
        <v>0</v>
      </c>
      <c r="T267" s="49">
        <f t="shared" si="67"/>
        <v>0</v>
      </c>
      <c r="U267" s="49">
        <f t="shared" si="68"/>
        <v>0</v>
      </c>
    </row>
    <row r="268" spans="1:21" ht="18.75" hidden="1" x14ac:dyDescent="0.25">
      <c r="A268" s="536"/>
      <c r="B268" s="525"/>
      <c r="C268" s="525"/>
      <c r="D268" s="525"/>
      <c r="E268" s="535" t="s">
        <v>21</v>
      </c>
      <c r="F268" s="525"/>
      <c r="G268" s="524"/>
      <c r="H268" s="476" t="s">
        <v>14</v>
      </c>
      <c r="I268" s="475"/>
      <c r="J268" s="475"/>
      <c r="K268" s="472"/>
      <c r="L268" s="467">
        <f t="shared" ca="1" si="69"/>
        <v>0</v>
      </c>
      <c r="M268" s="47">
        <f t="shared" ca="1" si="69"/>
        <v>22320</v>
      </c>
      <c r="N268" s="47">
        <f t="shared" ca="1" si="69"/>
        <v>17320</v>
      </c>
      <c r="O268" s="47">
        <f t="shared" ca="1" si="65"/>
        <v>0</v>
      </c>
      <c r="P268" s="47">
        <f t="shared" ca="1" si="66"/>
        <v>77.598566308243733</v>
      </c>
      <c r="Q268" s="47">
        <f t="shared" ca="1" si="70"/>
        <v>50660</v>
      </c>
      <c r="R268" s="47">
        <f t="shared" ca="1" si="70"/>
        <v>50660</v>
      </c>
      <c r="S268" s="47">
        <f t="shared" ca="1" si="70"/>
        <v>40010</v>
      </c>
      <c r="T268" s="47">
        <f t="shared" ca="1" si="67"/>
        <v>78.977497039084085</v>
      </c>
      <c r="U268" s="47">
        <f t="shared" ca="1" si="68"/>
        <v>78.977497039084085</v>
      </c>
    </row>
    <row r="269" spans="1:21" ht="18.75" x14ac:dyDescent="0.25">
      <c r="A269" s="536"/>
      <c r="B269" s="525"/>
      <c r="C269" s="525"/>
      <c r="D269" s="542" t="s">
        <v>22</v>
      </c>
      <c r="E269" s="525"/>
      <c r="F269" s="525"/>
      <c r="G269" s="524"/>
      <c r="H269" s="543" t="s">
        <v>14</v>
      </c>
      <c r="I269" s="528"/>
      <c r="J269" s="528"/>
      <c r="K269" s="533"/>
      <c r="L269" s="467">
        <f ca="1">L270+L271</f>
        <v>0</v>
      </c>
      <c r="M269" s="47">
        <f ca="1">M270+M271</f>
        <v>22320</v>
      </c>
      <c r="N269" s="47">
        <f ca="1">N270+N271</f>
        <v>17320</v>
      </c>
      <c r="O269" s="47">
        <f t="shared" ca="1" si="65"/>
        <v>0</v>
      </c>
      <c r="P269" s="47">
        <f t="shared" ca="1" si="66"/>
        <v>77.598566308243733</v>
      </c>
      <c r="Q269" s="47">
        <f ca="1">Q270+Q271</f>
        <v>50660</v>
      </c>
      <c r="R269" s="47">
        <f ca="1">R270+R271</f>
        <v>50660</v>
      </c>
      <c r="S269" s="47">
        <f ca="1">S270+S271</f>
        <v>40010</v>
      </c>
      <c r="T269" s="47">
        <f t="shared" ca="1" si="67"/>
        <v>78.977497039084085</v>
      </c>
      <c r="U269" s="47">
        <f t="shared" ca="1" si="68"/>
        <v>78.977497039084085</v>
      </c>
    </row>
    <row r="270" spans="1:21" ht="18.75" hidden="1" x14ac:dyDescent="0.25">
      <c r="A270" s="541"/>
      <c r="B270" s="540"/>
      <c r="C270" s="540"/>
      <c r="D270" s="540"/>
      <c r="E270" s="157" t="s">
        <v>36</v>
      </c>
      <c r="F270" s="540"/>
      <c r="G270" s="539"/>
      <c r="H270" s="160" t="s">
        <v>14</v>
      </c>
      <c r="I270" s="538"/>
      <c r="J270" s="538"/>
      <c r="K270" s="537"/>
      <c r="L270" s="468">
        <v>0</v>
      </c>
      <c r="M270" s="49">
        <v>0</v>
      </c>
      <c r="N270" s="49">
        <v>0</v>
      </c>
      <c r="O270" s="49">
        <f t="shared" si="65"/>
        <v>0</v>
      </c>
      <c r="P270" s="49">
        <f t="shared" si="66"/>
        <v>0</v>
      </c>
      <c r="Q270" s="49">
        <v>0</v>
      </c>
      <c r="R270" s="49">
        <v>0</v>
      </c>
      <c r="S270" s="49">
        <v>0</v>
      </c>
      <c r="T270" s="49">
        <f t="shared" si="67"/>
        <v>0</v>
      </c>
      <c r="U270" s="49">
        <f t="shared" si="68"/>
        <v>0</v>
      </c>
    </row>
    <row r="271" spans="1:21" ht="18.75" hidden="1" x14ac:dyDescent="0.25">
      <c r="A271" s="536"/>
      <c r="B271" s="525"/>
      <c r="C271" s="525"/>
      <c r="D271" s="525"/>
      <c r="E271" s="535" t="s">
        <v>37</v>
      </c>
      <c r="F271" s="525"/>
      <c r="G271" s="524"/>
      <c r="H271" s="543" t="s">
        <v>14</v>
      </c>
      <c r="I271" s="528"/>
      <c r="J271" s="528"/>
      <c r="K271" s="533"/>
      <c r="L271" s="467">
        <f ca="1">IFERROR(__xludf.DUMMYFUNCTION("IMPORTRANGE(""https://docs.google.com/spreadsheets/d/1-uDff_7J0KD5mKrp0Vvzr7lt3OU09vwQwhkpOPPYv2Y/edit?usp=sharing"",""งบพรบ!DE82"")"),0)</f>
        <v>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IFERROR(__xludf.DUMMYFUNCTION("IMPORTRANGE(""https://docs.google.com/spreadsheets/d/1-uDff_7J0KD5mKrp0Vvzr7lt3OU09vwQwhkpOPPYv2Y/edit?usp=sharing"",""งบพรบ!DL82"")"),17320)</f>
        <v>17320</v>
      </c>
      <c r="O271" s="47">
        <f t="shared" ca="1" si="65"/>
        <v>0</v>
      </c>
      <c r="P271" s="47">
        <f t="shared" ca="1" si="66"/>
        <v>77.598566308243733</v>
      </c>
      <c r="Q271" s="47">
        <f ca="1">IFERROR(__xludf.DUMMYFUNCTION("IMPORTRANGE(""https://docs.google.com/spreadsheets/d/1ItG2mGa2ceCfYo0BwxsXqNm01IGEUdYcSSLTEv9YCik/edit?usp=sharing"",""เบิกจ่ายกองทุน!AJ82"")"),50660)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IFERROR(__xludf.DUMMYFUNCTION("IMPORTRANGE(""https://docs.google.com/spreadsheets/d/1ItG2mGa2ceCfYo0BwxsXqNm01IGEUdYcSSLTEv9YCik/edit?usp=sharing"",""เบิกจ่ายกองทุน!AK82"")"),50660)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IFERROR(__xludf.DUMMYFUNCTION("IMPORTRANGE(""https://docs.google.com/spreadsheets/d/1ItG2mGa2ceCfYo0BwxsXqNm01IGEUdYcSSLTEv9YCik/edit?usp=sharing"",""เบิกจ่ายกองทุน!AL82"")"),40010)</f>
        <v>40010</v>
      </c>
      <c r="T271" s="47">
        <f t="shared" ca="1" si="67"/>
        <v>78.977497039084085</v>
      </c>
      <c r="U271" s="47">
        <f t="shared" ca="1" si="68"/>
        <v>78.977497039084085</v>
      </c>
    </row>
    <row r="272" spans="1:21" ht="18.75" x14ac:dyDescent="0.25">
      <c r="A272" s="536"/>
      <c r="B272" s="525"/>
      <c r="C272" s="525"/>
      <c r="D272" s="542" t="s">
        <v>23</v>
      </c>
      <c r="E272" s="525"/>
      <c r="F272" s="525"/>
      <c r="G272" s="524"/>
      <c r="H272" s="534" t="s">
        <v>14</v>
      </c>
      <c r="I272" s="528"/>
      <c r="J272" s="528"/>
      <c r="K272" s="533"/>
      <c r="L272" s="467">
        <f ca="1">L273+L274</f>
        <v>0</v>
      </c>
      <c r="M272" s="47">
        <f ca="1">M273+M274</f>
        <v>0</v>
      </c>
      <c r="N272" s="47">
        <f ca="1">N273+N274</f>
        <v>0</v>
      </c>
      <c r="O272" s="47">
        <f t="shared" ca="1" si="65"/>
        <v>0</v>
      </c>
      <c r="P272" s="47">
        <f t="shared" ca="1" si="66"/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 t="shared" si="67"/>
        <v>0</v>
      </c>
      <c r="U272" s="47">
        <f t="shared" si="68"/>
        <v>0</v>
      </c>
    </row>
    <row r="273" spans="1:21" ht="18.75" hidden="1" x14ac:dyDescent="0.25">
      <c r="A273" s="541"/>
      <c r="B273" s="540"/>
      <c r="C273" s="540"/>
      <c r="D273" s="540"/>
      <c r="E273" s="157" t="s">
        <v>20</v>
      </c>
      <c r="F273" s="540"/>
      <c r="G273" s="539"/>
      <c r="H273" s="160" t="s">
        <v>14</v>
      </c>
      <c r="I273" s="538"/>
      <c r="J273" s="538"/>
      <c r="K273" s="537"/>
      <c r="L273" s="468">
        <v>0</v>
      </c>
      <c r="M273" s="49">
        <v>0</v>
      </c>
      <c r="N273" s="49">
        <v>0</v>
      </c>
      <c r="O273" s="49">
        <f t="shared" si="65"/>
        <v>0</v>
      </c>
      <c r="P273" s="49">
        <f t="shared" si="66"/>
        <v>0</v>
      </c>
      <c r="Q273" s="49">
        <v>0</v>
      </c>
      <c r="R273" s="49">
        <v>0</v>
      </c>
      <c r="S273" s="49">
        <v>0</v>
      </c>
      <c r="T273" s="49">
        <f t="shared" si="67"/>
        <v>0</v>
      </c>
      <c r="U273" s="49">
        <f t="shared" si="68"/>
        <v>0</v>
      </c>
    </row>
    <row r="274" spans="1:21" ht="18.75" hidden="1" x14ac:dyDescent="0.25">
      <c r="A274" s="536"/>
      <c r="B274" s="525"/>
      <c r="C274" s="525"/>
      <c r="D274" s="525"/>
      <c r="E274" s="535" t="s">
        <v>21</v>
      </c>
      <c r="F274" s="525"/>
      <c r="G274" s="524"/>
      <c r="H274" s="534" t="s">
        <v>14</v>
      </c>
      <c r="I274" s="528"/>
      <c r="J274" s="528"/>
      <c r="K274" s="533"/>
      <c r="L274" s="467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t="shared" ca="1" si="65"/>
        <v>0</v>
      </c>
      <c r="P274" s="47">
        <f t="shared" ca="1" si="66"/>
        <v>0</v>
      </c>
      <c r="Q274" s="47">
        <v>0</v>
      </c>
      <c r="R274" s="47">
        <v>0</v>
      </c>
      <c r="S274" s="47">
        <v>0</v>
      </c>
      <c r="T274" s="47">
        <f t="shared" si="67"/>
        <v>0</v>
      </c>
      <c r="U274" s="47">
        <f t="shared" si="68"/>
        <v>0</v>
      </c>
    </row>
    <row r="275" spans="1:21" ht="19.5" x14ac:dyDescent="0.3">
      <c r="A275" s="481"/>
      <c r="B275" s="480"/>
      <c r="C275" s="535" t="s">
        <v>18</v>
      </c>
      <c r="D275" s="531" t="s">
        <v>38</v>
      </c>
      <c r="E275" s="530"/>
      <c r="F275" s="530"/>
      <c r="G275" s="529"/>
      <c r="H275" s="477"/>
      <c r="I275" s="528"/>
      <c r="J275" s="528"/>
      <c r="K275" s="533"/>
      <c r="L275" s="48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753"/>
      <c r="B276" s="752"/>
      <c r="C276" s="752"/>
      <c r="D276" s="751" t="s">
        <v>115</v>
      </c>
      <c r="E276" s="750"/>
      <c r="F276" s="750"/>
      <c r="G276" s="749"/>
      <c r="H276" s="748" t="s">
        <v>35</v>
      </c>
      <c r="I276" s="747">
        <f ca="1">IFERROR(__xludf.DUMMYFUNCTION("IMPORTRANGE(""https://docs.google.com/spreadsheets/d/1eHaY18a8A9IcSdp1K8H6x8fbOy06t2VsZHhMHf-1x7Y/edit?usp=sharing"",""แผน!EC82"")"),22)</f>
        <v>22</v>
      </c>
      <c r="J276" s="746">
        <v>0</v>
      </c>
      <c r="K276" s="745">
        <f ca="1">IF(I276&gt;0,J276*100/I276,0)</f>
        <v>0</v>
      </c>
      <c r="L276" s="465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729"/>
      <c r="B277" s="728"/>
      <c r="C277" s="728"/>
      <c r="D277" s="614" t="s">
        <v>116</v>
      </c>
      <c r="E277" s="727"/>
      <c r="F277" s="727"/>
      <c r="G277" s="726"/>
      <c r="H277" s="613" t="s">
        <v>35</v>
      </c>
      <c r="I277" s="443">
        <v>0</v>
      </c>
      <c r="J277" s="443">
        <v>0</v>
      </c>
      <c r="K277" s="612">
        <v>0</v>
      </c>
      <c r="L277" s="755"/>
      <c r="M277" s="754"/>
      <c r="N277" s="754"/>
      <c r="O277" s="754"/>
      <c r="P277" s="754"/>
      <c r="Q277" s="754"/>
      <c r="R277" s="754"/>
      <c r="S277" s="754"/>
      <c r="T277" s="754"/>
      <c r="U277" s="754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610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609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609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47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469">
        <f ca="1">L283+L284</f>
        <v>0</v>
      </c>
      <c r="M282" s="132">
        <f ca="1">M283+M284</f>
        <v>0</v>
      </c>
      <c r="N282" s="132">
        <f ca="1">N283+N284</f>
        <v>0</v>
      </c>
      <c r="O282" s="132">
        <f t="shared" ref="O282:O290" ca="1" si="71">IF(L282&gt;0,N282*100/L282,0)</f>
        <v>0</v>
      </c>
      <c r="P282" s="132">
        <f t="shared" ref="P282:P290" ca="1" si="72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 t="shared" ref="T282:T290" si="73">IF(Q282&gt;0,S282*100/Q282,0)</f>
        <v>0</v>
      </c>
      <c r="U282" s="132">
        <f t="shared" ref="U282:U290" si="74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468">
        <f t="shared" ref="L283:N284" si="75">L286+L289</f>
        <v>0</v>
      </c>
      <c r="M283" s="49">
        <f t="shared" si="75"/>
        <v>0</v>
      </c>
      <c r="N283" s="49">
        <f t="shared" si="75"/>
        <v>0</v>
      </c>
      <c r="O283" s="49">
        <f t="shared" si="71"/>
        <v>0</v>
      </c>
      <c r="P283" s="49">
        <f t="shared" si="72"/>
        <v>0</v>
      </c>
      <c r="Q283" s="49">
        <f t="shared" ref="Q283:S284" si="76">Q286+Q289</f>
        <v>0</v>
      </c>
      <c r="R283" s="49">
        <f t="shared" si="76"/>
        <v>0</v>
      </c>
      <c r="S283" s="49">
        <f t="shared" si="76"/>
        <v>0</v>
      </c>
      <c r="T283" s="49">
        <f t="shared" si="73"/>
        <v>0</v>
      </c>
      <c r="U283" s="49">
        <f t="shared" si="74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67">
        <f t="shared" ca="1" si="75"/>
        <v>0</v>
      </c>
      <c r="M284" s="47">
        <f t="shared" ca="1" si="75"/>
        <v>0</v>
      </c>
      <c r="N284" s="47">
        <f t="shared" ca="1" si="75"/>
        <v>0</v>
      </c>
      <c r="O284" s="47">
        <f t="shared" ca="1" si="71"/>
        <v>0</v>
      </c>
      <c r="P284" s="47">
        <f t="shared" ca="1" si="72"/>
        <v>0</v>
      </c>
      <c r="Q284" s="47">
        <f t="shared" si="76"/>
        <v>0</v>
      </c>
      <c r="R284" s="47">
        <f t="shared" si="76"/>
        <v>0</v>
      </c>
      <c r="S284" s="47">
        <f t="shared" si="76"/>
        <v>0</v>
      </c>
      <c r="T284" s="47">
        <f t="shared" si="73"/>
        <v>0</v>
      </c>
      <c r="U284" s="47">
        <f t="shared" si="74"/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67">
        <f ca="1">L286+L287</f>
        <v>0</v>
      </c>
      <c r="M285" s="47">
        <f ca="1">M286+M287</f>
        <v>0</v>
      </c>
      <c r="N285" s="47">
        <f ca="1">N286+N287</f>
        <v>0</v>
      </c>
      <c r="O285" s="47">
        <f t="shared" ca="1" si="71"/>
        <v>0</v>
      </c>
      <c r="P285" s="47">
        <f t="shared" ca="1" si="72"/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 t="shared" si="73"/>
        <v>0</v>
      </c>
      <c r="U285" s="47">
        <f t="shared" si="74"/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468">
        <v>0</v>
      </c>
      <c r="M286" s="49">
        <v>0</v>
      </c>
      <c r="N286" s="49">
        <v>0</v>
      </c>
      <c r="O286" s="49">
        <f t="shared" si="71"/>
        <v>0</v>
      </c>
      <c r="P286" s="49">
        <f t="shared" si="72"/>
        <v>0</v>
      </c>
      <c r="Q286" s="49">
        <v>0</v>
      </c>
      <c r="R286" s="49">
        <v>0</v>
      </c>
      <c r="S286" s="49">
        <v>0</v>
      </c>
      <c r="T286" s="49">
        <f t="shared" si="73"/>
        <v>0</v>
      </c>
      <c r="U286" s="49">
        <f t="shared" si="74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67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t="shared" ca="1" si="71"/>
        <v>0</v>
      </c>
      <c r="P287" s="47">
        <f t="shared" ca="1" si="72"/>
        <v>0</v>
      </c>
      <c r="Q287" s="47">
        <v>0</v>
      </c>
      <c r="R287" s="47">
        <v>0</v>
      </c>
      <c r="S287" s="47">
        <v>0</v>
      </c>
      <c r="T287" s="49">
        <f t="shared" si="73"/>
        <v>0</v>
      </c>
      <c r="U287" s="49">
        <f t="shared" si="74"/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67">
        <f ca="1">L289+L290</f>
        <v>0</v>
      </c>
      <c r="M288" s="47">
        <f ca="1">M289+M290</f>
        <v>0</v>
      </c>
      <c r="N288" s="47">
        <f ca="1">N289+N290</f>
        <v>0</v>
      </c>
      <c r="O288" s="47">
        <f t="shared" ca="1" si="71"/>
        <v>0</v>
      </c>
      <c r="P288" s="47">
        <f t="shared" ca="1" si="72"/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 t="shared" si="73"/>
        <v>0</v>
      </c>
      <c r="U288" s="47">
        <f t="shared" si="74"/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468">
        <v>0</v>
      </c>
      <c r="M289" s="49">
        <v>0</v>
      </c>
      <c r="N289" s="49">
        <v>0</v>
      </c>
      <c r="O289" s="49">
        <f t="shared" si="71"/>
        <v>0</v>
      </c>
      <c r="P289" s="49">
        <f t="shared" si="72"/>
        <v>0</v>
      </c>
      <c r="Q289" s="49">
        <v>0</v>
      </c>
      <c r="R289" s="49">
        <v>0</v>
      </c>
      <c r="S289" s="49">
        <v>0</v>
      </c>
      <c r="T289" s="49">
        <f t="shared" si="73"/>
        <v>0</v>
      </c>
      <c r="U289" s="49">
        <f t="shared" si="74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67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t="shared" ca="1" si="71"/>
        <v>0</v>
      </c>
      <c r="P290" s="47">
        <f t="shared" ca="1" si="72"/>
        <v>0</v>
      </c>
      <c r="Q290" s="47">
        <v>0</v>
      </c>
      <c r="R290" s="47">
        <v>0</v>
      </c>
      <c r="S290" s="47">
        <v>0</v>
      </c>
      <c r="T290" s="47">
        <f t="shared" si="73"/>
        <v>0</v>
      </c>
      <c r="U290" s="47">
        <f t="shared" si="74"/>
        <v>0</v>
      </c>
    </row>
    <row r="291" spans="1:21" ht="19.5" hidden="1" x14ac:dyDescent="0.3">
      <c r="A291" s="138"/>
      <c r="B291" s="139"/>
      <c r="C291" s="129" t="s">
        <v>18</v>
      </c>
      <c r="D291" s="492" t="s">
        <v>38</v>
      </c>
      <c r="E291" s="141"/>
      <c r="F291" s="141"/>
      <c r="G291" s="142"/>
      <c r="H291" s="143"/>
      <c r="I291" s="135"/>
      <c r="J291" s="135"/>
      <c r="K291" s="136"/>
      <c r="L291" s="48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48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48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48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48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48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599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599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608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598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0</v>
      </c>
      <c r="K302" s="311">
        <f ca="1">IF(I302&gt;0,J302*100/I302,0)</f>
        <v>0</v>
      </c>
      <c r="L302" s="570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47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469">
        <f ca="1">L304+L305</f>
        <v>114900</v>
      </c>
      <c r="M303" s="132">
        <f ca="1">M304+M305</f>
        <v>114900</v>
      </c>
      <c r="N303" s="132">
        <f ca="1">N304+N305</f>
        <v>99593.32</v>
      </c>
      <c r="O303" s="132">
        <f t="shared" ref="O303:O311" ca="1" si="77">IF(L303&gt;0,N303*100/L303,0)</f>
        <v>86.6782593559617</v>
      </c>
      <c r="P303" s="132">
        <f t="shared" ref="P303:P311" ca="1" si="78">IF(M303&gt;0,N303*100/M303,0)</f>
        <v>86.6782593559617</v>
      </c>
      <c r="Q303" s="132">
        <f ca="1">Q304+Q305</f>
        <v>123161.24</v>
      </c>
      <c r="R303" s="132">
        <f ca="1">R304+R305</f>
        <v>123161</v>
      </c>
      <c r="S303" s="132">
        <f ca="1">S304+S305</f>
        <v>1000</v>
      </c>
      <c r="T303" s="132">
        <f t="shared" ref="T303:T311" ca="1" si="79">IF(Q303&gt;0,S303*100/Q303,0)</f>
        <v>0.8119437576302414</v>
      </c>
      <c r="U303" s="132">
        <f t="shared" ref="U303:U311" ca="1" si="80">IF(R303&gt;0,S303*100/R303,0)</f>
        <v>0.81194533983972195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468">
        <f t="shared" ref="L304:N305" si="81">L307+L310</f>
        <v>0</v>
      </c>
      <c r="M304" s="49">
        <f t="shared" si="81"/>
        <v>0</v>
      </c>
      <c r="N304" s="49">
        <f t="shared" si="81"/>
        <v>0</v>
      </c>
      <c r="O304" s="49">
        <f t="shared" si="77"/>
        <v>0</v>
      </c>
      <c r="P304" s="49">
        <f t="shared" si="78"/>
        <v>0</v>
      </c>
      <c r="Q304" s="49">
        <f t="shared" ref="Q304:S305" si="82">Q307+Q310</f>
        <v>0</v>
      </c>
      <c r="R304" s="49">
        <f t="shared" si="82"/>
        <v>0</v>
      </c>
      <c r="S304" s="49">
        <f t="shared" si="82"/>
        <v>0</v>
      </c>
      <c r="T304" s="49">
        <f t="shared" si="79"/>
        <v>0</v>
      </c>
      <c r="U304" s="49">
        <f t="shared" si="80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67">
        <f t="shared" ca="1" si="81"/>
        <v>114900</v>
      </c>
      <c r="M305" s="47">
        <f t="shared" ca="1" si="81"/>
        <v>114900</v>
      </c>
      <c r="N305" s="47">
        <f t="shared" ca="1" si="81"/>
        <v>99593.32</v>
      </c>
      <c r="O305" s="47">
        <f t="shared" ca="1" si="77"/>
        <v>86.6782593559617</v>
      </c>
      <c r="P305" s="47">
        <f t="shared" ca="1" si="78"/>
        <v>86.6782593559617</v>
      </c>
      <c r="Q305" s="47">
        <f t="shared" ca="1" si="82"/>
        <v>123161.24</v>
      </c>
      <c r="R305" s="47">
        <f t="shared" ca="1" si="82"/>
        <v>123161</v>
      </c>
      <c r="S305" s="47">
        <f t="shared" ca="1" si="82"/>
        <v>1000</v>
      </c>
      <c r="T305" s="47">
        <f t="shared" ca="1" si="79"/>
        <v>0.8119437576302414</v>
      </c>
      <c r="U305" s="47">
        <f t="shared" ca="1" si="80"/>
        <v>0.81194533983972195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67">
        <f ca="1">L307+L308</f>
        <v>114900</v>
      </c>
      <c r="M306" s="47">
        <f ca="1">M307+M308</f>
        <v>114900</v>
      </c>
      <c r="N306" s="47">
        <f ca="1">N307+N308</f>
        <v>99593.32</v>
      </c>
      <c r="O306" s="47">
        <f t="shared" ca="1" si="77"/>
        <v>86.6782593559617</v>
      </c>
      <c r="P306" s="47">
        <f t="shared" ca="1" si="78"/>
        <v>86.6782593559617</v>
      </c>
      <c r="Q306" s="47">
        <f ca="1">Q307+Q308</f>
        <v>123161.24</v>
      </c>
      <c r="R306" s="47">
        <f ca="1">R307+R308</f>
        <v>123161</v>
      </c>
      <c r="S306" s="47">
        <f ca="1">S307+S308</f>
        <v>1000</v>
      </c>
      <c r="T306" s="47">
        <f t="shared" ca="1" si="79"/>
        <v>0.8119437576302414</v>
      </c>
      <c r="U306" s="47">
        <f t="shared" ca="1" si="80"/>
        <v>0.81194533983972195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468">
        <v>0</v>
      </c>
      <c r="M307" s="49">
        <v>0</v>
      </c>
      <c r="N307" s="49">
        <v>0</v>
      </c>
      <c r="O307" s="49">
        <f t="shared" si="77"/>
        <v>0</v>
      </c>
      <c r="P307" s="49">
        <f t="shared" si="78"/>
        <v>0</v>
      </c>
      <c r="Q307" s="49">
        <v>0</v>
      </c>
      <c r="R307" s="49">
        <v>0</v>
      </c>
      <c r="S307" s="49">
        <v>0</v>
      </c>
      <c r="T307" s="49">
        <f t="shared" si="79"/>
        <v>0</v>
      </c>
      <c r="U307" s="49">
        <f t="shared" si="80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67">
        <f ca="1">IFERROR(__xludf.DUMMYFUNCTION("IMPORTRANGE(""https://docs.google.com/spreadsheets/d/1-uDff_7J0KD5mKrp0Vvzr7lt3OU09vwQwhkpOPPYv2Y/edit?usp=sharing"",""งบพรบ!DY82"")"),114900)</f>
        <v>114900</v>
      </c>
      <c r="M308" s="47">
        <f ca="1">IFERROR(__xludf.DUMMYFUNCTION("IMPORTRANGE(""https://docs.google.com/spreadsheets/d/1-uDff_7J0KD5mKrp0Vvzr7lt3OU09vwQwhkpOPPYv2Y/edit?usp=sharing"",""งบพรบ!ED82"")"),114900)</f>
        <v>114900</v>
      </c>
      <c r="N308" s="47">
        <f ca="1">IFERROR(__xludf.DUMMYFUNCTION("IMPORTRANGE(""https://docs.google.com/spreadsheets/d/1-uDff_7J0KD5mKrp0Vvzr7lt3OU09vwQwhkpOPPYv2Y/edit?usp=sharing"",""งบพรบ!EF82"")"),99593.32)</f>
        <v>99593.32</v>
      </c>
      <c r="O308" s="47">
        <f t="shared" ca="1" si="77"/>
        <v>86.6782593559617</v>
      </c>
      <c r="P308" s="47">
        <f t="shared" ca="1" si="78"/>
        <v>86.6782593559617</v>
      </c>
      <c r="Q308" s="47">
        <f ca="1">IFERROR(__xludf.DUMMYFUNCTION("IMPORTRANGE(""https://docs.google.com/spreadsheets/d/1ItG2mGa2ceCfYo0BwxsXqNm01IGEUdYcSSLTEv9YCik/edit?usp=sharing"",""เบิกจ่ายกองทุน!AP82"")"),123161.24)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IFERROR(__xludf.DUMMYFUNCTION("IMPORTRANGE(""https://docs.google.com/spreadsheets/d/1ItG2mGa2ceCfYo0BwxsXqNm01IGEUdYcSSLTEv9YCik/edit?usp=sharing"",""เบิกจ่ายกองทุน!AQ82"")"),123161)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IFERROR(__xludf.DUMMYFUNCTION("IMPORTRANGE(""https://docs.google.com/spreadsheets/d/1ItG2mGa2ceCfYo0BwxsXqNm01IGEUdYcSSLTEv9YCik/edit?usp=sharing"",""เบิกจ่ายกองทุน!AR82"")"),1000)</f>
        <v>1000</v>
      </c>
      <c r="T308" s="47">
        <f t="shared" ca="1" si="79"/>
        <v>0.8119437576302414</v>
      </c>
      <c r="U308" s="47">
        <f t="shared" ca="1" si="80"/>
        <v>0.81194533983972195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67">
        <f ca="1">L310+L311</f>
        <v>0</v>
      </c>
      <c r="M309" s="47">
        <f ca="1">M310+M311</f>
        <v>0</v>
      </c>
      <c r="N309" s="47">
        <f ca="1">N310+N311</f>
        <v>0</v>
      </c>
      <c r="O309" s="47">
        <f t="shared" ca="1" si="77"/>
        <v>0</v>
      </c>
      <c r="P309" s="47">
        <f t="shared" ca="1" si="78"/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 t="shared" si="79"/>
        <v>0</v>
      </c>
      <c r="U309" s="47">
        <f t="shared" si="80"/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468">
        <v>0</v>
      </c>
      <c r="M310" s="49">
        <v>0</v>
      </c>
      <c r="N310" s="49">
        <v>0</v>
      </c>
      <c r="O310" s="49">
        <f t="shared" si="77"/>
        <v>0</v>
      </c>
      <c r="P310" s="49">
        <f t="shared" si="78"/>
        <v>0</v>
      </c>
      <c r="Q310" s="49">
        <v>0</v>
      </c>
      <c r="R310" s="49">
        <v>0</v>
      </c>
      <c r="S310" s="49">
        <v>0</v>
      </c>
      <c r="T310" s="49">
        <f t="shared" si="79"/>
        <v>0</v>
      </c>
      <c r="U310" s="49">
        <f t="shared" si="80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67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t="shared" ca="1" si="77"/>
        <v>0</v>
      </c>
      <c r="P311" s="47">
        <f t="shared" ca="1" si="78"/>
        <v>0</v>
      </c>
      <c r="Q311" s="47">
        <v>0</v>
      </c>
      <c r="R311" s="47">
        <v>0</v>
      </c>
      <c r="S311" s="47">
        <v>0</v>
      </c>
      <c r="T311" s="47">
        <f t="shared" si="79"/>
        <v>0</v>
      </c>
      <c r="U311" s="47">
        <f t="shared" si="80"/>
        <v>0</v>
      </c>
    </row>
    <row r="312" spans="1:21" ht="19.5" x14ac:dyDescent="0.3">
      <c r="A312" s="138"/>
      <c r="B312" s="139"/>
      <c r="C312" s="129" t="s">
        <v>18</v>
      </c>
      <c r="D312" s="492" t="s">
        <v>38</v>
      </c>
      <c r="E312" s="141"/>
      <c r="F312" s="141"/>
      <c r="G312" s="142"/>
      <c r="H312" s="143"/>
      <c r="I312" s="45"/>
      <c r="J312" s="45"/>
      <c r="K312" s="46"/>
      <c r="L312" s="465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607"/>
      <c r="E313" s="19"/>
      <c r="F313" s="19"/>
      <c r="G313" s="20"/>
      <c r="H313" s="20"/>
      <c r="I313" s="21"/>
      <c r="J313" s="605"/>
      <c r="K313" s="22"/>
      <c r="L313" s="599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0</v>
      </c>
      <c r="K314" s="47">
        <f ca="1">IF(I314&gt;0,J314*100/I314,0)</f>
        <v>0</v>
      </c>
      <c r="L314" s="465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607"/>
      <c r="E315" s="19"/>
      <c r="F315" s="19"/>
      <c r="G315" s="20"/>
      <c r="H315" s="606"/>
      <c r="I315" s="605"/>
      <c r="J315" s="605"/>
      <c r="K315" s="604"/>
      <c r="L315" s="599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607"/>
      <c r="E316" s="19"/>
      <c r="F316" s="19"/>
      <c r="G316" s="20"/>
      <c r="H316" s="606"/>
      <c r="I316" s="605"/>
      <c r="J316" s="605"/>
      <c r="K316" s="604"/>
      <c r="L316" s="599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603"/>
      <c r="E317" s="19"/>
      <c r="F317" s="19"/>
      <c r="G317" s="20"/>
      <c r="H317" s="602"/>
      <c r="I317" s="601"/>
      <c r="J317" s="601"/>
      <c r="K317" s="600"/>
      <c r="L317" s="599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598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570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47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469">
        <f ca="1">L321+L322</f>
        <v>0</v>
      </c>
      <c r="M320" s="132">
        <f ca="1">M321+M322</f>
        <v>0</v>
      </c>
      <c r="N320" s="132">
        <f ca="1">N321+N322</f>
        <v>0</v>
      </c>
      <c r="O320" s="132">
        <f t="shared" ref="O320:O328" ca="1" si="83">IF(L320&gt;0,N320*100/L320,0)</f>
        <v>0</v>
      </c>
      <c r="P320" s="132">
        <f t="shared" ref="P320:P328" ca="1" si="84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 t="shared" ref="T320:T328" si="85">IF(Q320&gt;0,S320*100/Q320,0)</f>
        <v>0</v>
      </c>
      <c r="U320" s="132">
        <f t="shared" ref="U320:U328" si="86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468">
        <f t="shared" ref="L321:N322" si="87">L324+L327</f>
        <v>0</v>
      </c>
      <c r="M321" s="49">
        <f t="shared" si="87"/>
        <v>0</v>
      </c>
      <c r="N321" s="49">
        <f t="shared" si="87"/>
        <v>0</v>
      </c>
      <c r="O321" s="49">
        <f t="shared" si="83"/>
        <v>0</v>
      </c>
      <c r="P321" s="49">
        <f t="shared" si="84"/>
        <v>0</v>
      </c>
      <c r="Q321" s="49">
        <f t="shared" ref="Q321:S322" si="88">Q324+Q327</f>
        <v>0</v>
      </c>
      <c r="R321" s="49">
        <f t="shared" si="88"/>
        <v>0</v>
      </c>
      <c r="S321" s="49">
        <f t="shared" si="88"/>
        <v>0</v>
      </c>
      <c r="T321" s="49">
        <f t="shared" si="85"/>
        <v>0</v>
      </c>
      <c r="U321" s="49">
        <f t="shared" si="86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67">
        <f t="shared" ca="1" si="87"/>
        <v>0</v>
      </c>
      <c r="M322" s="47">
        <f t="shared" ca="1" si="87"/>
        <v>0</v>
      </c>
      <c r="N322" s="47">
        <f t="shared" ca="1" si="87"/>
        <v>0</v>
      </c>
      <c r="O322" s="47">
        <f t="shared" ca="1" si="83"/>
        <v>0</v>
      </c>
      <c r="P322" s="47">
        <f t="shared" ca="1" si="84"/>
        <v>0</v>
      </c>
      <c r="Q322" s="47">
        <f t="shared" si="88"/>
        <v>0</v>
      </c>
      <c r="R322" s="47">
        <f t="shared" si="88"/>
        <v>0</v>
      </c>
      <c r="S322" s="47">
        <f t="shared" si="88"/>
        <v>0</v>
      </c>
      <c r="T322" s="47">
        <f t="shared" si="85"/>
        <v>0</v>
      </c>
      <c r="U322" s="47">
        <f t="shared" si="86"/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67">
        <f ca="1">L324+L325</f>
        <v>0</v>
      </c>
      <c r="M323" s="47">
        <f ca="1">M324+M325</f>
        <v>0</v>
      </c>
      <c r="N323" s="47">
        <f ca="1">N324+N325</f>
        <v>0</v>
      </c>
      <c r="O323" s="47">
        <f t="shared" ca="1" si="83"/>
        <v>0</v>
      </c>
      <c r="P323" s="47">
        <f t="shared" ca="1" si="84"/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 t="shared" si="85"/>
        <v>0</v>
      </c>
      <c r="U323" s="47">
        <f t="shared" si="86"/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468">
        <v>0</v>
      </c>
      <c r="M324" s="49">
        <v>0</v>
      </c>
      <c r="N324" s="49">
        <v>0</v>
      </c>
      <c r="O324" s="49">
        <f t="shared" si="83"/>
        <v>0</v>
      </c>
      <c r="P324" s="49">
        <f t="shared" si="84"/>
        <v>0</v>
      </c>
      <c r="Q324" s="49">
        <v>0</v>
      </c>
      <c r="R324" s="49">
        <v>0</v>
      </c>
      <c r="S324" s="49">
        <v>0</v>
      </c>
      <c r="T324" s="49">
        <f t="shared" si="85"/>
        <v>0</v>
      </c>
      <c r="U324" s="49">
        <f t="shared" si="86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67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t="shared" ca="1" si="83"/>
        <v>0</v>
      </c>
      <c r="P325" s="47">
        <f t="shared" ca="1" si="84"/>
        <v>0</v>
      </c>
      <c r="Q325" s="47">
        <v>0</v>
      </c>
      <c r="R325" s="47">
        <v>0</v>
      </c>
      <c r="S325" s="47">
        <v>0</v>
      </c>
      <c r="T325" s="47">
        <f t="shared" si="85"/>
        <v>0</v>
      </c>
      <c r="U325" s="47">
        <f t="shared" si="86"/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67">
        <f ca="1">L327+L328</f>
        <v>0</v>
      </c>
      <c r="M326" s="47">
        <f ca="1">M327+M328</f>
        <v>0</v>
      </c>
      <c r="N326" s="47">
        <f ca="1">N327+N328</f>
        <v>0</v>
      </c>
      <c r="O326" s="47">
        <f t="shared" ca="1" si="83"/>
        <v>0</v>
      </c>
      <c r="P326" s="47">
        <f t="shared" ca="1" si="84"/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 t="shared" si="85"/>
        <v>0</v>
      </c>
      <c r="U326" s="47">
        <f t="shared" si="86"/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468">
        <v>0</v>
      </c>
      <c r="M327" s="49">
        <v>0</v>
      </c>
      <c r="N327" s="49">
        <v>0</v>
      </c>
      <c r="O327" s="49">
        <f t="shared" si="83"/>
        <v>0</v>
      </c>
      <c r="P327" s="49">
        <f t="shared" si="84"/>
        <v>0</v>
      </c>
      <c r="Q327" s="49">
        <v>0</v>
      </c>
      <c r="R327" s="49">
        <v>0</v>
      </c>
      <c r="S327" s="49">
        <v>0</v>
      </c>
      <c r="T327" s="49">
        <f t="shared" si="85"/>
        <v>0</v>
      </c>
      <c r="U327" s="49">
        <f t="shared" si="86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67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t="shared" ca="1" si="83"/>
        <v>0</v>
      </c>
      <c r="P328" s="47">
        <f t="shared" ca="1" si="84"/>
        <v>0</v>
      </c>
      <c r="Q328" s="47">
        <v>0</v>
      </c>
      <c r="R328" s="47">
        <v>0</v>
      </c>
      <c r="S328" s="47">
        <v>0</v>
      </c>
      <c r="T328" s="47">
        <f t="shared" si="85"/>
        <v>0</v>
      </c>
      <c r="U328" s="47">
        <f t="shared" si="86"/>
        <v>0</v>
      </c>
    </row>
    <row r="329" spans="1:21" ht="19.5" hidden="1" x14ac:dyDescent="0.3">
      <c r="A329" s="138"/>
      <c r="B329" s="139"/>
      <c r="C329" s="129" t="s">
        <v>18</v>
      </c>
      <c r="D329" s="492" t="s">
        <v>38</v>
      </c>
      <c r="E329" s="141"/>
      <c r="F329" s="141"/>
      <c r="G329" s="142"/>
      <c r="H329" s="143"/>
      <c r="I329" s="135"/>
      <c r="J329" s="45"/>
      <c r="K329" s="46"/>
      <c r="L329" s="465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465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598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597">
        <f ca="1">I344</f>
        <v>800</v>
      </c>
      <c r="J332" s="596">
        <f ca="1">J344+J347+J348+J349+J353</f>
        <v>3161</v>
      </c>
      <c r="K332" s="595">
        <f ca="1">IF(I332&gt;0,J332*100/I332,0)</f>
        <v>395.125</v>
      </c>
      <c r="L332" s="570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47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469">
        <f ca="1">L334+L335</f>
        <v>102000</v>
      </c>
      <c r="M333" s="132">
        <f ca="1">M334+M335</f>
        <v>107000</v>
      </c>
      <c r="N333" s="132">
        <f ca="1">N334+N335</f>
        <v>67400</v>
      </c>
      <c r="O333" s="132">
        <f t="shared" ref="O333:O341" ca="1" si="89">IF(L333&gt;0,N333*100/L333,0)</f>
        <v>66.078431372549019</v>
      </c>
      <c r="P333" s="132">
        <f t="shared" ref="P333:P341" ca="1" si="90">IF(M333&gt;0,N333*100/M333,0)</f>
        <v>62.990654205607477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 t="shared" ref="T333:T341" si="91">IF(Q333&gt;0,S333*100/Q333,0)</f>
        <v>0</v>
      </c>
      <c r="U333" s="132">
        <f t="shared" ref="U333:U341" si="92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468">
        <f t="shared" ref="L334:N335" si="93">L337+L340</f>
        <v>0</v>
      </c>
      <c r="M334" s="49">
        <f t="shared" si="93"/>
        <v>0</v>
      </c>
      <c r="N334" s="49">
        <f t="shared" si="93"/>
        <v>0</v>
      </c>
      <c r="O334" s="49">
        <f t="shared" si="89"/>
        <v>0</v>
      </c>
      <c r="P334" s="49">
        <f t="shared" si="90"/>
        <v>0</v>
      </c>
      <c r="Q334" s="49">
        <f t="shared" ref="Q334:S335" si="94">Q337+Q340</f>
        <v>0</v>
      </c>
      <c r="R334" s="49">
        <f t="shared" si="94"/>
        <v>0</v>
      </c>
      <c r="S334" s="49">
        <f t="shared" si="94"/>
        <v>0</v>
      </c>
      <c r="T334" s="49">
        <f t="shared" si="91"/>
        <v>0</v>
      </c>
      <c r="U334" s="49">
        <f t="shared" si="92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67">
        <f t="shared" ca="1" si="93"/>
        <v>102000</v>
      </c>
      <c r="M335" s="47">
        <f t="shared" ca="1" si="93"/>
        <v>107000</v>
      </c>
      <c r="N335" s="47">
        <f t="shared" ca="1" si="93"/>
        <v>67400</v>
      </c>
      <c r="O335" s="47">
        <f t="shared" ca="1" si="89"/>
        <v>66.078431372549019</v>
      </c>
      <c r="P335" s="47">
        <f t="shared" ca="1" si="90"/>
        <v>62.990654205607477</v>
      </c>
      <c r="Q335" s="47">
        <f t="shared" si="94"/>
        <v>0</v>
      </c>
      <c r="R335" s="47">
        <f t="shared" si="94"/>
        <v>0</v>
      </c>
      <c r="S335" s="47">
        <f t="shared" si="94"/>
        <v>0</v>
      </c>
      <c r="T335" s="47">
        <f t="shared" si="91"/>
        <v>0</v>
      </c>
      <c r="U335" s="47">
        <f t="shared" si="92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67">
        <f ca="1">L337+L338</f>
        <v>102000</v>
      </c>
      <c r="M336" s="47">
        <f ca="1">M337+M338</f>
        <v>107000</v>
      </c>
      <c r="N336" s="47">
        <f ca="1">N337+N338</f>
        <v>67400</v>
      </c>
      <c r="O336" s="47">
        <f t="shared" ca="1" si="89"/>
        <v>66.078431372549019</v>
      </c>
      <c r="P336" s="47">
        <f t="shared" ca="1" si="90"/>
        <v>62.990654205607477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 t="shared" si="91"/>
        <v>0</v>
      </c>
      <c r="U336" s="47">
        <f t="shared" si="92"/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468">
        <v>0</v>
      </c>
      <c r="M337" s="49">
        <v>0</v>
      </c>
      <c r="N337" s="49">
        <v>0</v>
      </c>
      <c r="O337" s="49">
        <f t="shared" si="89"/>
        <v>0</v>
      </c>
      <c r="P337" s="49">
        <f t="shared" si="90"/>
        <v>0</v>
      </c>
      <c r="Q337" s="49">
        <v>0</v>
      </c>
      <c r="R337" s="49">
        <v>0</v>
      </c>
      <c r="S337" s="49">
        <v>0</v>
      </c>
      <c r="T337" s="49">
        <f t="shared" si="91"/>
        <v>0</v>
      </c>
      <c r="U337" s="49">
        <f t="shared" si="92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67">
        <f ca="1">IFERROR(__xludf.DUMMYFUNCTION("IMPORTRANGE(""https://docs.google.com/spreadsheets/d/1-uDff_7J0KD5mKrp0Vvzr7lt3OU09vwQwhkpOPPYv2Y/edit?usp=sharing"",""งบพรบ!ES82"")"),102000)</f>
        <v>102000</v>
      </c>
      <c r="M338" s="47">
        <f ca="1">IFERROR(__xludf.DUMMYFUNCTION("IMPORTRANGE(""https://docs.google.com/spreadsheets/d/1-uDff_7J0KD5mKrp0Vvzr7lt3OU09vwQwhkpOPPYv2Y/edit?usp=sharing"",""งบพรบ!EX82"")"),107000)</f>
        <v>107000</v>
      </c>
      <c r="N338" s="47">
        <f ca="1">IFERROR(__xludf.DUMMYFUNCTION("IMPORTRANGE(""https://docs.google.com/spreadsheets/d/1-uDff_7J0KD5mKrp0Vvzr7lt3OU09vwQwhkpOPPYv2Y/edit?usp=sharing"",""งบพรบ!EZ82"")"),67400)</f>
        <v>67400</v>
      </c>
      <c r="O338" s="47">
        <f t="shared" ca="1" si="89"/>
        <v>66.078431372549019</v>
      </c>
      <c r="P338" s="47">
        <f t="shared" ca="1" si="90"/>
        <v>62.990654205607477</v>
      </c>
      <c r="Q338" s="47">
        <v>0</v>
      </c>
      <c r="R338" s="47">
        <v>0</v>
      </c>
      <c r="S338" s="47">
        <v>0</v>
      </c>
      <c r="T338" s="47">
        <f t="shared" si="91"/>
        <v>0</v>
      </c>
      <c r="U338" s="47">
        <f t="shared" si="92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67">
        <f ca="1">L340+L341</f>
        <v>0</v>
      </c>
      <c r="M339" s="47">
        <f ca="1">M340+M341</f>
        <v>0</v>
      </c>
      <c r="N339" s="47">
        <f ca="1">N340+N341</f>
        <v>0</v>
      </c>
      <c r="O339" s="47">
        <f t="shared" ca="1" si="89"/>
        <v>0</v>
      </c>
      <c r="P339" s="47">
        <f t="shared" ca="1" si="90"/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 t="shared" si="91"/>
        <v>0</v>
      </c>
      <c r="U339" s="47">
        <f t="shared" si="92"/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468">
        <v>0</v>
      </c>
      <c r="M340" s="49">
        <v>0</v>
      </c>
      <c r="N340" s="49">
        <v>0</v>
      </c>
      <c r="O340" s="49">
        <f t="shared" si="89"/>
        <v>0</v>
      </c>
      <c r="P340" s="49">
        <f t="shared" si="90"/>
        <v>0</v>
      </c>
      <c r="Q340" s="49">
        <v>0</v>
      </c>
      <c r="R340" s="49">
        <v>0</v>
      </c>
      <c r="S340" s="49">
        <v>0</v>
      </c>
      <c r="T340" s="49">
        <f t="shared" si="91"/>
        <v>0</v>
      </c>
      <c r="U340" s="49">
        <f t="shared" si="92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67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t="shared" ca="1" si="89"/>
        <v>0</v>
      </c>
      <c r="P341" s="47">
        <f t="shared" ca="1" si="90"/>
        <v>0</v>
      </c>
      <c r="Q341" s="47">
        <v>0</v>
      </c>
      <c r="R341" s="47">
        <v>0</v>
      </c>
      <c r="S341" s="47">
        <v>0</v>
      </c>
      <c r="T341" s="47">
        <f t="shared" si="91"/>
        <v>0</v>
      </c>
      <c r="U341" s="47">
        <f t="shared" si="92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5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594"/>
      <c r="B343" s="591"/>
      <c r="C343" s="593"/>
      <c r="D343" s="591"/>
      <c r="E343" s="592" t="s">
        <v>137</v>
      </c>
      <c r="F343" s="591"/>
      <c r="G343" s="590"/>
      <c r="H343" s="589" t="s">
        <v>35</v>
      </c>
      <c r="I343" s="588">
        <v>0</v>
      </c>
      <c r="J343" s="588">
        <f ca="1">J344+J347+J348+J349</f>
        <v>1691</v>
      </c>
      <c r="K343" s="587">
        <v>0</v>
      </c>
      <c r="L343" s="585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IFERROR(__xludf.DUMMYFUNCTION("IMPORTRANGE(""https://docs.google.com/spreadsheets/d/1awYsYK3VOup2i3Pq_Yjnu8DRu_mYwSBnCR2QPthd0rU/edit?usp=sharing"",""ศูนย์ยกเว้นโฉนด!D82"")"),1691)</f>
        <v>1691</v>
      </c>
      <c r="K344" s="47">
        <f ca="1">IF(I344&gt;0,J344*100/I344,0)</f>
        <v>211.375</v>
      </c>
      <c r="L344" s="465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5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465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465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465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465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41"/>
      <c r="F350" s="41"/>
      <c r="G350" s="43"/>
      <c r="H350" s="191"/>
      <c r="I350" s="45"/>
      <c r="J350" s="45"/>
      <c r="K350" s="46"/>
      <c r="L350" s="465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586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1960</v>
      </c>
      <c r="K351" s="229">
        <v>0</v>
      </c>
      <c r="L351" s="585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IFERROR(__xludf.DUMMYFUNCTION("IMPORTRANGE(""https://docs.google.com/spreadsheets/d/1awYsYK3VOup2i3Pq_Yjnu8DRu_mYwSBnCR2QPthd0rU/edit?usp=sharing"",""โฉนดM3!G82"")"),490)</f>
        <v>490</v>
      </c>
      <c r="K352" s="46"/>
      <c r="L352" s="465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IFERROR(__xludf.DUMMYFUNCTION("IMPORTRANGE(""https://docs.google.com/spreadsheets/d/1awYsYK3VOup2i3Pq_Yjnu8DRu_mYwSBnCR2QPthd0rU/edit?usp=sharing"",""โฉนดM3!H82"")"),1470)</f>
        <v>1470</v>
      </c>
      <c r="K353" s="46"/>
      <c r="L353" s="465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4" s="41"/>
      <c r="F354" s="41"/>
      <c r="G354" s="43"/>
      <c r="H354" s="191"/>
      <c r="I354" s="45"/>
      <c r="J354" s="45"/>
      <c r="K354" s="46"/>
      <c r="L354" s="465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570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47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469">
        <f ca="1">L357+L358</f>
        <v>241735</v>
      </c>
      <c r="M356" s="132">
        <f ca="1">M357+M358</f>
        <v>241735</v>
      </c>
      <c r="N356" s="132">
        <f ca="1">N357+N358</f>
        <v>138552.26</v>
      </c>
      <c r="O356" s="132">
        <f t="shared" ref="O356:O364" ca="1" si="95">IF(L356&gt;0,N356*100/L356,0)</f>
        <v>57.315763129046267</v>
      </c>
      <c r="P356" s="132">
        <f t="shared" ref="P356:P364" ca="1" si="96">IF(M356&gt;0,N356*100/M356,0)</f>
        <v>57.315763129046267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 t="shared" ref="T356:T364" si="97">IF(Q356&gt;0,S356*100/Q356,0)</f>
        <v>0</v>
      </c>
      <c r="U356" s="132">
        <f t="shared" ref="U356:U364" si="98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468">
        <f t="shared" ref="L357:N358" si="99">L360+L363</f>
        <v>0</v>
      </c>
      <c r="M357" s="49">
        <f t="shared" si="99"/>
        <v>0</v>
      </c>
      <c r="N357" s="49">
        <f t="shared" si="99"/>
        <v>0</v>
      </c>
      <c r="O357" s="49">
        <f t="shared" si="95"/>
        <v>0</v>
      </c>
      <c r="P357" s="49">
        <f t="shared" si="96"/>
        <v>0</v>
      </c>
      <c r="Q357" s="49">
        <f t="shared" ref="Q357:S358" si="100">Q360+Q363</f>
        <v>0</v>
      </c>
      <c r="R357" s="49">
        <f t="shared" si="100"/>
        <v>0</v>
      </c>
      <c r="S357" s="49">
        <f t="shared" si="100"/>
        <v>0</v>
      </c>
      <c r="T357" s="49">
        <f t="shared" si="97"/>
        <v>0</v>
      </c>
      <c r="U357" s="49">
        <f t="shared" si="98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67">
        <f t="shared" ca="1" si="99"/>
        <v>241735</v>
      </c>
      <c r="M358" s="47">
        <f t="shared" ca="1" si="99"/>
        <v>241735</v>
      </c>
      <c r="N358" s="47">
        <f t="shared" ca="1" si="99"/>
        <v>138552.26</v>
      </c>
      <c r="O358" s="47">
        <f t="shared" ca="1" si="95"/>
        <v>57.315763129046267</v>
      </c>
      <c r="P358" s="47">
        <f t="shared" ca="1" si="96"/>
        <v>57.315763129046267</v>
      </c>
      <c r="Q358" s="47">
        <f t="shared" si="100"/>
        <v>0</v>
      </c>
      <c r="R358" s="47">
        <f t="shared" si="100"/>
        <v>0</v>
      </c>
      <c r="S358" s="47">
        <f t="shared" si="100"/>
        <v>0</v>
      </c>
      <c r="T358" s="47">
        <f t="shared" si="97"/>
        <v>0</v>
      </c>
      <c r="U358" s="47">
        <f t="shared" si="98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67">
        <f ca="1">L360+L361</f>
        <v>241735</v>
      </c>
      <c r="M359" s="47">
        <f ca="1">M360+M361</f>
        <v>241735</v>
      </c>
      <c r="N359" s="47">
        <f ca="1">N360+N361</f>
        <v>138552.26</v>
      </c>
      <c r="O359" s="47">
        <f t="shared" ca="1" si="95"/>
        <v>57.315763129046267</v>
      </c>
      <c r="P359" s="47">
        <f t="shared" ca="1" si="96"/>
        <v>57.315763129046267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 t="shared" si="97"/>
        <v>0</v>
      </c>
      <c r="U359" s="47">
        <f t="shared" si="98"/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468">
        <v>0</v>
      </c>
      <c r="M360" s="49">
        <v>0</v>
      </c>
      <c r="N360" s="49">
        <v>0</v>
      </c>
      <c r="O360" s="49">
        <f t="shared" si="95"/>
        <v>0</v>
      </c>
      <c r="P360" s="49">
        <f t="shared" si="96"/>
        <v>0</v>
      </c>
      <c r="Q360" s="49">
        <v>0</v>
      </c>
      <c r="R360" s="49">
        <v>0</v>
      </c>
      <c r="S360" s="49">
        <v>0</v>
      </c>
      <c r="T360" s="49">
        <f t="shared" si="97"/>
        <v>0</v>
      </c>
      <c r="U360" s="49">
        <f t="shared" si="98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67">
        <f ca="1">IFERROR(__xludf.DUMMYFUNCTION("IMPORTRANGE(""https://docs.google.com/spreadsheets/d/1-uDff_7J0KD5mKrp0Vvzr7lt3OU09vwQwhkpOPPYv2Y/edit?usp=sharing"",""งบพรบ!FC82"")"),241735)</f>
        <v>241735</v>
      </c>
      <c r="M361" s="47">
        <f ca="1">IFERROR(__xludf.DUMMYFUNCTION("IMPORTRANGE(""https://docs.google.com/spreadsheets/d/1-uDff_7J0KD5mKrp0Vvzr7lt3OU09vwQwhkpOPPYv2Y/edit?usp=sharing"",""งบพรบ!FH82"")"),241735)</f>
        <v>241735</v>
      </c>
      <c r="N361" s="47">
        <f ca="1">IFERROR(__xludf.DUMMYFUNCTION("IMPORTRANGE(""https://docs.google.com/spreadsheets/d/1-uDff_7J0KD5mKrp0Vvzr7lt3OU09vwQwhkpOPPYv2Y/edit?usp=sharing"",""งบพรบ!FJ82"")"),138552.26)</f>
        <v>138552.26</v>
      </c>
      <c r="O361" s="47">
        <f t="shared" ca="1" si="95"/>
        <v>57.315763129046267</v>
      </c>
      <c r="P361" s="47">
        <f t="shared" ca="1" si="96"/>
        <v>57.315763129046267</v>
      </c>
      <c r="Q361" s="47">
        <v>0</v>
      </c>
      <c r="R361" s="47">
        <v>0</v>
      </c>
      <c r="S361" s="47">
        <v>0</v>
      </c>
      <c r="T361" s="47">
        <f t="shared" si="97"/>
        <v>0</v>
      </c>
      <c r="U361" s="47">
        <f t="shared" si="98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67">
        <f ca="1">L363+L364</f>
        <v>0</v>
      </c>
      <c r="M362" s="47">
        <f ca="1">M363+M364</f>
        <v>0</v>
      </c>
      <c r="N362" s="47">
        <f ca="1">N363+N364</f>
        <v>0</v>
      </c>
      <c r="O362" s="47">
        <f t="shared" ca="1" si="95"/>
        <v>0</v>
      </c>
      <c r="P362" s="47">
        <f t="shared" ca="1" si="96"/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 t="shared" si="97"/>
        <v>0</v>
      </c>
      <c r="U362" s="47">
        <f t="shared" si="98"/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468">
        <v>0</v>
      </c>
      <c r="M363" s="49">
        <v>0</v>
      </c>
      <c r="N363" s="49">
        <v>0</v>
      </c>
      <c r="O363" s="49">
        <f t="shared" si="95"/>
        <v>0</v>
      </c>
      <c r="P363" s="49">
        <f t="shared" si="96"/>
        <v>0</v>
      </c>
      <c r="Q363" s="49">
        <v>0</v>
      </c>
      <c r="R363" s="49">
        <v>0</v>
      </c>
      <c r="S363" s="49">
        <v>0</v>
      </c>
      <c r="T363" s="49">
        <f t="shared" si="97"/>
        <v>0</v>
      </c>
      <c r="U363" s="49">
        <f t="shared" si="98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67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t="shared" ca="1" si="95"/>
        <v>0</v>
      </c>
      <c r="P364" s="47">
        <f t="shared" ca="1" si="96"/>
        <v>0</v>
      </c>
      <c r="Q364" s="47">
        <v>0</v>
      </c>
      <c r="R364" s="47">
        <v>0</v>
      </c>
      <c r="S364" s="47">
        <v>0</v>
      </c>
      <c r="T364" s="47">
        <f t="shared" si="97"/>
        <v>0</v>
      </c>
      <c r="U364" s="47">
        <f t="shared" si="98"/>
        <v>0</v>
      </c>
    </row>
    <row r="365" spans="1:21" ht="19.5" x14ac:dyDescent="0.3">
      <c r="A365" s="222"/>
      <c r="B365" s="223"/>
      <c r="C365" s="225"/>
      <c r="D365" s="586" t="s">
        <v>149</v>
      </c>
      <c r="E365" s="225"/>
      <c r="F365" s="225"/>
      <c r="G365" s="226"/>
      <c r="H365" s="234" t="s">
        <v>35</v>
      </c>
      <c r="I365" s="228">
        <f ca="1">I371</f>
        <v>220</v>
      </c>
      <c r="J365" s="228">
        <f ca="1">J371</f>
        <v>104</v>
      </c>
      <c r="K365" s="229">
        <f ca="1">IF(I365&gt;0,J365*100/I365,0)</f>
        <v>47.272727272727273</v>
      </c>
      <c r="L365" s="585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492" t="s">
        <v>38</v>
      </c>
      <c r="E366" s="141"/>
      <c r="F366" s="141"/>
      <c r="G366" s="142"/>
      <c r="H366" s="143"/>
      <c r="I366" s="45"/>
      <c r="J366" s="45"/>
      <c r="K366" s="46"/>
      <c r="L366" s="48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IFERROR(__xludf.DUMMYFUNCTION("IMPORTRANGE(""https://docs.google.com/spreadsheets/d/1tdoBKaGub7dwA3U6UFTqxio9LNnvDCQjHKmttSEBsFQ/edit?usp=sharing"",""จัดที่ดิน!AB82"")"),50)</f>
        <v>50</v>
      </c>
      <c r="K367" s="47">
        <f t="shared" ref="K367:K372" si="101">IF(I367&gt;0,J367*100/I367,0)</f>
        <v>0</v>
      </c>
      <c r="L367" s="48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IFERROR(__xludf.DUMMYFUNCTION("IMPORTRANGE(""https://docs.google.com/spreadsheets/d/1eHaY18a8A9IcSdp1K8H6x8fbOy06t2VsZHhMHf-1x7Y/edit?usp=sharing"",""แผน!EW82"")"),380)</f>
        <v>380</v>
      </c>
      <c r="J368" s="584">
        <f ca="1">IFERROR(__xludf.DUMMYFUNCTION("IMPORTRANGE(""https://docs.google.com/spreadsheets/d/1tdoBKaGub7dwA3U6UFTqxio9LNnvDCQjHKmttSEBsFQ/edit?usp=sharing"",""จัดที่ดิน!AC82"")"),218.21)</f>
        <v>218.21</v>
      </c>
      <c r="K368" s="47">
        <f t="shared" ca="1" si="101"/>
        <v>57.423684210526318</v>
      </c>
      <c r="L368" s="48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IFERROR(__xludf.DUMMYFUNCTION("IMPORTRANGE(""https://docs.google.com/spreadsheets/d/1eHaY18a8A9IcSdp1K8H6x8fbOy06t2VsZHhMHf-1x7Y/edit?usp=sharing"",""แผน!EX82"")"),220)</f>
        <v>220</v>
      </c>
      <c r="J369" s="152">
        <f ca="1">IFERROR(__xludf.DUMMYFUNCTION("IMPORTRANGE(""https://docs.google.com/spreadsheets/d/1tdoBKaGub7dwA3U6UFTqxio9LNnvDCQjHKmttSEBsFQ/edit?usp=sharing"",""จัดที่ดิน!AD82"")"),128)</f>
        <v>128</v>
      </c>
      <c r="K369" s="47">
        <f t="shared" ca="1" si="101"/>
        <v>58.18181818181818</v>
      </c>
      <c r="L369" s="48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584">
        <f ca="1">IFERROR(__xludf.DUMMYFUNCTION("IMPORTRANGE(""https://docs.google.com/spreadsheets/d/1tdoBKaGub7dwA3U6UFTqxio9LNnvDCQjHKmttSEBsFQ/edit?usp=sharing"",""จัดที่ดิน!AE82"")"),937.07)</f>
        <v>937.07</v>
      </c>
      <c r="K370" s="47">
        <f t="shared" si="101"/>
        <v>0</v>
      </c>
      <c r="L370" s="48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IFERROR(__xludf.DUMMYFUNCTION("IMPORTRANGE(""https://docs.google.com/spreadsheets/d/1eHaY18a8A9IcSdp1K8H6x8fbOy06t2VsZHhMHf-1x7Y/edit?usp=sharing"",""แผน!EY82"")"),220)</f>
        <v>220</v>
      </c>
      <c r="J371" s="152">
        <f ca="1">IFERROR(__xludf.DUMMYFUNCTION("IMPORTRANGE(""https://docs.google.com/spreadsheets/d/1tdoBKaGub7dwA3U6UFTqxio9LNnvDCQjHKmttSEBsFQ/edit?usp=sharing"",""จัดที่ดิน!AF82"")"),104)</f>
        <v>104</v>
      </c>
      <c r="K371" s="47">
        <f t="shared" ca="1" si="101"/>
        <v>47.272727272727273</v>
      </c>
      <c r="L371" s="48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584">
        <f ca="1">IFERROR(__xludf.DUMMYFUNCTION("IMPORTRANGE(""https://docs.google.com/spreadsheets/d/1tdoBKaGub7dwA3U6UFTqxio9LNnvDCQjHKmttSEBsFQ/edit?usp=sharing"",""จัดที่ดิน!AG82"")"),824.29)</f>
        <v>824.29</v>
      </c>
      <c r="K372" s="47">
        <f t="shared" si="101"/>
        <v>0</v>
      </c>
      <c r="L372" s="48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1"/>
      <c r="F373" s="1"/>
      <c r="G373" s="53"/>
      <c r="H373" s="53"/>
      <c r="I373" s="55"/>
      <c r="J373" s="55"/>
      <c r="K373" s="4"/>
      <c r="L373" s="46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583"/>
      <c r="B374" s="582" t="s">
        <v>153</v>
      </c>
      <c r="C374" s="581"/>
      <c r="D374" s="580"/>
      <c r="E374" s="579"/>
      <c r="F374" s="579"/>
      <c r="G374" s="578"/>
      <c r="H374" s="577" t="s">
        <v>46</v>
      </c>
      <c r="I374" s="576">
        <f ca="1">I385</f>
        <v>0</v>
      </c>
      <c r="J374" s="576">
        <f>J385</f>
        <v>0</v>
      </c>
      <c r="K374" s="575">
        <f ca="1">IF(I374&gt;0,J374*100/I374,0)</f>
        <v>0</v>
      </c>
      <c r="L374" s="570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hidden="1" x14ac:dyDescent="0.3">
      <c r="A375" s="128"/>
      <c r="B375" s="159"/>
      <c r="C375" s="162" t="s">
        <v>18</v>
      </c>
      <c r="D375" s="573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469">
        <f>L376+L377</f>
        <v>0</v>
      </c>
      <c r="M375" s="132">
        <f>M376+M377</f>
        <v>0</v>
      </c>
      <c r="N375" s="132">
        <f>N376+N377</f>
        <v>0</v>
      </c>
      <c r="O375" s="132">
        <f t="shared" ref="O375:O383" si="102">IF(L375&gt;0,N375*100/L375,0)</f>
        <v>0</v>
      </c>
      <c r="P375" s="132">
        <f t="shared" ref="P375:P383" si="103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t="shared" ref="T375:T383" ca="1" si="104">IF(Q375&gt;0,S375*100/Q375,0)</f>
        <v>0</v>
      </c>
      <c r="U375" s="132">
        <f t="shared" ref="U375:U383" ca="1" si="105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68">
        <f t="shared" ref="L376:N377" si="106">L379+L382</f>
        <v>0</v>
      </c>
      <c r="M376" s="49">
        <f t="shared" si="106"/>
        <v>0</v>
      </c>
      <c r="N376" s="49">
        <f t="shared" si="106"/>
        <v>0</v>
      </c>
      <c r="O376" s="49">
        <f t="shared" si="102"/>
        <v>0</v>
      </c>
      <c r="P376" s="49">
        <f t="shared" si="103"/>
        <v>0</v>
      </c>
      <c r="Q376" s="49">
        <f t="shared" ref="Q376:S377" si="107">Q379+Q382</f>
        <v>0</v>
      </c>
      <c r="R376" s="49">
        <f t="shared" si="107"/>
        <v>0</v>
      </c>
      <c r="S376" s="49">
        <f t="shared" si="107"/>
        <v>0</v>
      </c>
      <c r="T376" s="49">
        <f t="shared" si="104"/>
        <v>0</v>
      </c>
      <c r="U376" s="49">
        <f t="shared" si="105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67">
        <f t="shared" si="106"/>
        <v>0</v>
      </c>
      <c r="M377" s="47">
        <f t="shared" si="106"/>
        <v>0</v>
      </c>
      <c r="N377" s="47">
        <f t="shared" si="106"/>
        <v>0</v>
      </c>
      <c r="O377" s="47">
        <f t="shared" si="102"/>
        <v>0</v>
      </c>
      <c r="P377" s="47">
        <f t="shared" si="103"/>
        <v>0</v>
      </c>
      <c r="Q377" s="47">
        <f t="shared" ca="1" si="107"/>
        <v>0</v>
      </c>
      <c r="R377" s="47">
        <f t="shared" ca="1" si="107"/>
        <v>0</v>
      </c>
      <c r="S377" s="47">
        <f t="shared" ca="1" si="107"/>
        <v>0</v>
      </c>
      <c r="T377" s="47">
        <f t="shared" ca="1" si="104"/>
        <v>0</v>
      </c>
      <c r="U377" s="47">
        <f t="shared" ca="1" si="105"/>
        <v>0</v>
      </c>
    </row>
    <row r="378" spans="1:21" ht="18.75" hidden="1" x14ac:dyDescent="0.25">
      <c r="A378" s="128"/>
      <c r="B378" s="159"/>
      <c r="C378" s="159"/>
      <c r="D378" s="56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67">
        <f>L379+L380</f>
        <v>0</v>
      </c>
      <c r="M378" s="47">
        <f>M379+M380</f>
        <v>0</v>
      </c>
      <c r="N378" s="47">
        <f>N379+N380</f>
        <v>0</v>
      </c>
      <c r="O378" s="47">
        <f t="shared" si="102"/>
        <v>0</v>
      </c>
      <c r="P378" s="47">
        <f t="shared" si="103"/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t="shared" ca="1" si="104"/>
        <v>0</v>
      </c>
      <c r="U378" s="47">
        <f t="shared" ca="1" si="105"/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68">
        <v>0</v>
      </c>
      <c r="M379" s="49">
        <v>0</v>
      </c>
      <c r="N379" s="49">
        <v>0</v>
      </c>
      <c r="O379" s="49">
        <f t="shared" si="102"/>
        <v>0</v>
      </c>
      <c r="P379" s="49">
        <f t="shared" si="103"/>
        <v>0</v>
      </c>
      <c r="Q379" s="49">
        <v>0</v>
      </c>
      <c r="R379" s="49">
        <v>0</v>
      </c>
      <c r="S379" s="49">
        <v>0</v>
      </c>
      <c r="T379" s="49">
        <f t="shared" si="104"/>
        <v>0</v>
      </c>
      <c r="U379" s="49">
        <f t="shared" si="105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67">
        <v>0</v>
      </c>
      <c r="M380" s="47">
        <v>0</v>
      </c>
      <c r="N380" s="47">
        <v>0</v>
      </c>
      <c r="O380" s="47">
        <f t="shared" si="102"/>
        <v>0</v>
      </c>
      <c r="P380" s="47">
        <f t="shared" si="103"/>
        <v>0</v>
      </c>
      <c r="Q380" s="47">
        <f ca="1">IFERROR(__xludf.DUMMYFUNCTION("IMPORTRANGE(""https://docs.google.com/spreadsheets/d/1ItG2mGa2ceCfYo0BwxsXqNm01IGEUdYcSSLTEv9YCik/edit?usp=sharing"",""เบิกจ่ายกองทุน!AY82"")"),0)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IFERROR(__xludf.DUMMYFUNCTION("IMPORTRANGE(""https://docs.google.com/spreadsheets/d/1ItG2mGa2ceCfYo0BwxsXqNm01IGEUdYcSSLTEv9YCik/edit?usp=sharing"",""เบิกจ่ายกองทุน!AZ82"")"),0)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IFERROR(__xludf.DUMMYFUNCTION("IMPORTRANGE(""https://docs.google.com/spreadsheets/d/1ItG2mGa2ceCfYo0BwxsXqNm01IGEUdYcSSLTEv9YCik/edit?usp=sharing"",""เบิกจ่ายกองทุน!BA82"")"),0)</f>
        <v>0</v>
      </c>
      <c r="T380" s="47">
        <f t="shared" ca="1" si="104"/>
        <v>0</v>
      </c>
      <c r="U380" s="47">
        <f t="shared" ca="1" si="105"/>
        <v>0</v>
      </c>
    </row>
    <row r="381" spans="1:21" ht="18.75" hidden="1" x14ac:dyDescent="0.25">
      <c r="A381" s="128"/>
      <c r="B381" s="159"/>
      <c r="C381" s="159"/>
      <c r="D381" s="56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67">
        <f>L382+L383</f>
        <v>0</v>
      </c>
      <c r="M381" s="47">
        <f>M382+M383</f>
        <v>0</v>
      </c>
      <c r="N381" s="47">
        <f>N382+N383</f>
        <v>0</v>
      </c>
      <c r="O381" s="47">
        <f t="shared" si="102"/>
        <v>0</v>
      </c>
      <c r="P381" s="47">
        <f t="shared" si="103"/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 t="shared" si="104"/>
        <v>0</v>
      </c>
      <c r="U381" s="47">
        <f t="shared" si="105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68">
        <v>0</v>
      </c>
      <c r="M382" s="49">
        <v>0</v>
      </c>
      <c r="N382" s="49">
        <v>0</v>
      </c>
      <c r="O382" s="49">
        <f t="shared" si="102"/>
        <v>0</v>
      </c>
      <c r="P382" s="49">
        <f t="shared" si="103"/>
        <v>0</v>
      </c>
      <c r="Q382" s="49">
        <v>0</v>
      </c>
      <c r="R382" s="49">
        <v>0</v>
      </c>
      <c r="S382" s="49">
        <v>0</v>
      </c>
      <c r="T382" s="49">
        <f t="shared" si="104"/>
        <v>0</v>
      </c>
      <c r="U382" s="49">
        <f t="shared" si="105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67">
        <v>0</v>
      </c>
      <c r="M383" s="47">
        <v>0</v>
      </c>
      <c r="N383" s="47">
        <v>0</v>
      </c>
      <c r="O383" s="47">
        <f t="shared" si="102"/>
        <v>0</v>
      </c>
      <c r="P383" s="47">
        <f t="shared" si="103"/>
        <v>0</v>
      </c>
      <c r="Q383" s="47">
        <v>0</v>
      </c>
      <c r="R383" s="47">
        <v>0</v>
      </c>
      <c r="S383" s="47">
        <v>0</v>
      </c>
      <c r="T383" s="47">
        <f t="shared" si="104"/>
        <v>0</v>
      </c>
      <c r="U383" s="47">
        <f t="shared" si="105"/>
        <v>0</v>
      </c>
    </row>
    <row r="384" spans="1:21" ht="19.5" hidden="1" x14ac:dyDescent="0.3">
      <c r="A384" s="138"/>
      <c r="B384" s="139"/>
      <c r="C384" s="162" t="s">
        <v>18</v>
      </c>
      <c r="D384" s="487" t="s">
        <v>38</v>
      </c>
      <c r="E384" s="141"/>
      <c r="F384" s="141"/>
      <c r="G384" s="142"/>
      <c r="H384" s="189"/>
      <c r="I384" s="135"/>
      <c r="J384" s="45"/>
      <c r="K384" s="46"/>
      <c r="L384" s="465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hidden="1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465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465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159"/>
      <c r="B387" s="159"/>
      <c r="C387" s="159"/>
      <c r="D387" s="159"/>
      <c r="E387" s="326" t="s">
        <v>155</v>
      </c>
      <c r="F387" s="159"/>
      <c r="G387" s="191"/>
      <c r="H387" s="158" t="s">
        <v>34</v>
      </c>
      <c r="I387" s="327">
        <v>0</v>
      </c>
      <c r="J387" s="327">
        <v>0</v>
      </c>
      <c r="K387" s="49">
        <f>IF(I387&gt;0,J387*100/I387,0)</f>
        <v>0</v>
      </c>
      <c r="L387" s="465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159"/>
      <c r="B388" s="159"/>
      <c r="C388" s="159"/>
      <c r="D388" s="159"/>
      <c r="E388" s="159"/>
      <c r="F388" s="159"/>
      <c r="G388" s="191"/>
      <c r="H388" s="158" t="s">
        <v>46</v>
      </c>
      <c r="I388" s="327">
        <v>0</v>
      </c>
      <c r="J388" s="327">
        <v>0</v>
      </c>
      <c r="K388" s="49">
        <f>IF(I388&gt;0,J388*100/I388,0)</f>
        <v>0</v>
      </c>
      <c r="L388" s="465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03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28"/>
      <c r="B390" s="328"/>
      <c r="C390" s="328"/>
      <c r="D390" s="328"/>
      <c r="E390" s="328"/>
      <c r="F390" s="328"/>
      <c r="G390" s="329"/>
      <c r="H390" s="329"/>
      <c r="I390" s="330">
        <v>0</v>
      </c>
      <c r="J390" s="330">
        <v>0</v>
      </c>
      <c r="K390" s="331"/>
      <c r="L390" s="491"/>
      <c r="M390" s="331"/>
      <c r="N390" s="331"/>
      <c r="O390" s="331"/>
      <c r="P390" s="331"/>
      <c r="Q390" s="331"/>
      <c r="R390" s="331"/>
      <c r="S390" s="331"/>
      <c r="T390" s="331"/>
      <c r="U390" s="331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570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573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469">
        <f>L393+L394</f>
        <v>0</v>
      </c>
      <c r="M392" s="132">
        <f>M393+M394</f>
        <v>0</v>
      </c>
      <c r="N392" s="132">
        <f>N393+N394</f>
        <v>0</v>
      </c>
      <c r="O392" s="132">
        <f t="shared" ref="O392:O400" si="108">IF(L392&gt;0,N392*100/L392,0)</f>
        <v>0</v>
      </c>
      <c r="P392" s="132">
        <f t="shared" ref="P392:P400" si="109">IF(M392&gt;0,N392*100/M392,0)</f>
        <v>0</v>
      </c>
      <c r="Q392" s="132">
        <f>Q393+Q394</f>
        <v>0</v>
      </c>
      <c r="R392" s="132">
        <f>R393+R394</f>
        <v>0</v>
      </c>
      <c r="S392" s="132">
        <f>S393+S394</f>
        <v>0</v>
      </c>
      <c r="T392" s="132">
        <f t="shared" ref="T392:T400" si="110">IF(Q392&gt;0,S392*100/Q392,0)</f>
        <v>0</v>
      </c>
      <c r="U392" s="132">
        <f t="shared" ref="U392:U400" si="11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68">
        <f t="shared" ref="L393:N394" si="112">L396+L399</f>
        <v>0</v>
      </c>
      <c r="M393" s="49">
        <f t="shared" si="112"/>
        <v>0</v>
      </c>
      <c r="N393" s="49">
        <f t="shared" si="112"/>
        <v>0</v>
      </c>
      <c r="O393" s="49">
        <f t="shared" si="108"/>
        <v>0</v>
      </c>
      <c r="P393" s="49">
        <f t="shared" si="109"/>
        <v>0</v>
      </c>
      <c r="Q393" s="49">
        <f t="shared" ref="Q393:S394" si="113">Q396+Q399</f>
        <v>0</v>
      </c>
      <c r="R393" s="49">
        <f t="shared" si="113"/>
        <v>0</v>
      </c>
      <c r="S393" s="49">
        <f t="shared" si="113"/>
        <v>0</v>
      </c>
      <c r="T393" s="49">
        <f t="shared" si="110"/>
        <v>0</v>
      </c>
      <c r="U393" s="49">
        <f t="shared" si="111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67">
        <f t="shared" si="112"/>
        <v>0</v>
      </c>
      <c r="M394" s="47">
        <f t="shared" si="112"/>
        <v>0</v>
      </c>
      <c r="N394" s="47">
        <f t="shared" si="112"/>
        <v>0</v>
      </c>
      <c r="O394" s="47">
        <f t="shared" si="108"/>
        <v>0</v>
      </c>
      <c r="P394" s="47">
        <f t="shared" si="109"/>
        <v>0</v>
      </c>
      <c r="Q394" s="47">
        <f t="shared" si="113"/>
        <v>0</v>
      </c>
      <c r="R394" s="47">
        <f t="shared" si="113"/>
        <v>0</v>
      </c>
      <c r="S394" s="47">
        <f t="shared" si="113"/>
        <v>0</v>
      </c>
      <c r="T394" s="47">
        <f t="shared" si="110"/>
        <v>0</v>
      </c>
      <c r="U394" s="47">
        <f t="shared" si="111"/>
        <v>0</v>
      </c>
    </row>
    <row r="395" spans="1:21" ht="18.75" hidden="1" x14ac:dyDescent="0.25">
      <c r="A395" s="128"/>
      <c r="B395" s="159"/>
      <c r="C395" s="159"/>
      <c r="D395" s="56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67">
        <f>L396+L397</f>
        <v>0</v>
      </c>
      <c r="M395" s="47">
        <f>M396+M397</f>
        <v>0</v>
      </c>
      <c r="N395" s="47">
        <f>N396+N397</f>
        <v>0</v>
      </c>
      <c r="O395" s="47">
        <f t="shared" si="108"/>
        <v>0</v>
      </c>
      <c r="P395" s="47">
        <f t="shared" si="109"/>
        <v>0</v>
      </c>
      <c r="Q395" s="47">
        <f>Q396+Q397</f>
        <v>0</v>
      </c>
      <c r="R395" s="47">
        <f>R396+R397</f>
        <v>0</v>
      </c>
      <c r="S395" s="47">
        <f>S396+S397</f>
        <v>0</v>
      </c>
      <c r="T395" s="47">
        <f t="shared" si="110"/>
        <v>0</v>
      </c>
      <c r="U395" s="47">
        <f t="shared" si="111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68">
        <v>0</v>
      </c>
      <c r="M396" s="49">
        <v>0</v>
      </c>
      <c r="N396" s="49">
        <v>0</v>
      </c>
      <c r="O396" s="49">
        <f t="shared" si="108"/>
        <v>0</v>
      </c>
      <c r="P396" s="49">
        <f t="shared" si="109"/>
        <v>0</v>
      </c>
      <c r="Q396" s="49">
        <v>0</v>
      </c>
      <c r="R396" s="49">
        <v>0</v>
      </c>
      <c r="S396" s="49">
        <v>0</v>
      </c>
      <c r="T396" s="49">
        <f t="shared" si="110"/>
        <v>0</v>
      </c>
      <c r="U396" s="49">
        <f t="shared" si="111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67">
        <v>0</v>
      </c>
      <c r="M397" s="47">
        <v>0</v>
      </c>
      <c r="N397" s="47">
        <v>0</v>
      </c>
      <c r="O397" s="47">
        <f t="shared" si="108"/>
        <v>0</v>
      </c>
      <c r="P397" s="47">
        <f t="shared" si="109"/>
        <v>0</v>
      </c>
      <c r="Q397" s="47">
        <v>0</v>
      </c>
      <c r="R397" s="47">
        <v>0</v>
      </c>
      <c r="S397" s="47">
        <v>0</v>
      </c>
      <c r="T397" s="47">
        <f t="shared" si="110"/>
        <v>0</v>
      </c>
      <c r="U397" s="47">
        <f t="shared" si="111"/>
        <v>0</v>
      </c>
    </row>
    <row r="398" spans="1:21" ht="18.75" hidden="1" x14ac:dyDescent="0.25">
      <c r="A398" s="128"/>
      <c r="B398" s="159"/>
      <c r="C398" s="159"/>
      <c r="D398" s="56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67">
        <f>L399+L400</f>
        <v>0</v>
      </c>
      <c r="M398" s="47">
        <f>M399+M400</f>
        <v>0</v>
      </c>
      <c r="N398" s="47">
        <f>N399+N400</f>
        <v>0</v>
      </c>
      <c r="O398" s="47">
        <f t="shared" si="108"/>
        <v>0</v>
      </c>
      <c r="P398" s="47">
        <f t="shared" si="109"/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 t="shared" si="110"/>
        <v>0</v>
      </c>
      <c r="U398" s="47">
        <f t="shared" si="111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68">
        <v>0</v>
      </c>
      <c r="M399" s="49">
        <v>0</v>
      </c>
      <c r="N399" s="49">
        <v>0</v>
      </c>
      <c r="O399" s="49">
        <f t="shared" si="108"/>
        <v>0</v>
      </c>
      <c r="P399" s="49">
        <f t="shared" si="109"/>
        <v>0</v>
      </c>
      <c r="Q399" s="49">
        <v>0</v>
      </c>
      <c r="R399" s="49">
        <v>0</v>
      </c>
      <c r="S399" s="49">
        <v>0</v>
      </c>
      <c r="T399" s="49">
        <f t="shared" si="110"/>
        <v>0</v>
      </c>
      <c r="U399" s="49">
        <f t="shared" si="111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67">
        <v>0</v>
      </c>
      <c r="M400" s="47">
        <v>0</v>
      </c>
      <c r="N400" s="47">
        <v>0</v>
      </c>
      <c r="O400" s="47">
        <f t="shared" si="108"/>
        <v>0</v>
      </c>
      <c r="P400" s="47">
        <f t="shared" si="109"/>
        <v>0</v>
      </c>
      <c r="Q400" s="47">
        <v>0</v>
      </c>
      <c r="R400" s="47">
        <v>0</v>
      </c>
      <c r="S400" s="47">
        <v>0</v>
      </c>
      <c r="T400" s="47">
        <f t="shared" si="110"/>
        <v>0</v>
      </c>
      <c r="U400" s="47">
        <f t="shared" si="111"/>
        <v>0</v>
      </c>
    </row>
    <row r="401" spans="1:21" ht="19.5" hidden="1" x14ac:dyDescent="0.3">
      <c r="A401" s="138"/>
      <c r="B401" s="139"/>
      <c r="C401" s="162" t="s">
        <v>18</v>
      </c>
      <c r="D401" s="487" t="s">
        <v>38</v>
      </c>
      <c r="E401" s="141"/>
      <c r="F401" s="141"/>
      <c r="G401" s="142"/>
      <c r="H401" s="189"/>
      <c r="I401" s="135"/>
      <c r="J401" s="45"/>
      <c r="K401" s="46"/>
      <c r="L401" s="465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03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03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03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03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03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03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03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03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03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28"/>
      <c r="B411" s="328"/>
      <c r="C411" s="328"/>
      <c r="D411" s="328"/>
      <c r="E411" s="328"/>
      <c r="F411" s="328"/>
      <c r="G411" s="329"/>
      <c r="H411" s="329"/>
      <c r="I411" s="330"/>
      <c r="J411" s="330"/>
      <c r="K411" s="331"/>
      <c r="L411" s="491"/>
      <c r="M411" s="331"/>
      <c r="N411" s="331"/>
      <c r="O411" s="331"/>
      <c r="P411" s="331"/>
      <c r="Q411" s="331"/>
      <c r="R411" s="331"/>
      <c r="S411" s="331"/>
      <c r="T411" s="331"/>
      <c r="U411" s="331"/>
    </row>
    <row r="412" spans="1:21" ht="19.5" hidden="1" x14ac:dyDescent="0.3">
      <c r="A412" s="315"/>
      <c r="B412" s="322" t="s">
        <v>157</v>
      </c>
      <c r="C412" s="315"/>
      <c r="D412" s="315"/>
      <c r="E412" s="315"/>
      <c r="F412" s="315"/>
      <c r="G412" s="333"/>
      <c r="H412" s="334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570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35" t="s">
        <v>18</v>
      </c>
      <c r="D413" s="787" t="s">
        <v>19</v>
      </c>
      <c r="E413" s="760"/>
      <c r="F413" s="760"/>
      <c r="G413" s="761"/>
      <c r="H413" s="336" t="s">
        <v>14</v>
      </c>
      <c r="I413" s="45"/>
      <c r="J413" s="45"/>
      <c r="K413" s="46"/>
      <c r="L413" s="469">
        <f>L414+L415</f>
        <v>0</v>
      </c>
      <c r="M413" s="132">
        <f>M414+M415</f>
        <v>0</v>
      </c>
      <c r="N413" s="132">
        <f>N414+N415</f>
        <v>0</v>
      </c>
      <c r="O413" s="132">
        <f t="shared" ref="O413:O421" si="114">IF(L413&gt;0,N413*100/L413,0)</f>
        <v>0</v>
      </c>
      <c r="P413" s="132">
        <f t="shared" ref="P413:P421" si="115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t="shared" ref="T413:T421" ca="1" si="116">IF(Q413&gt;0,S413*100/Q413,0)</f>
        <v>0</v>
      </c>
      <c r="U413" s="132">
        <f t="shared" ref="U413:U421" ca="1" si="117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26" t="s">
        <v>158</v>
      </c>
      <c r="F414" s="159"/>
      <c r="G414" s="191"/>
      <c r="H414" s="187" t="s">
        <v>14</v>
      </c>
      <c r="I414" s="45"/>
      <c r="J414" s="45"/>
      <c r="K414" s="46"/>
      <c r="L414" s="468">
        <f t="shared" ref="L414:N415" si="118">L417+L420</f>
        <v>0</v>
      </c>
      <c r="M414" s="49">
        <f t="shared" si="118"/>
        <v>0</v>
      </c>
      <c r="N414" s="49">
        <f t="shared" si="118"/>
        <v>0</v>
      </c>
      <c r="O414" s="49">
        <f t="shared" si="114"/>
        <v>0</v>
      </c>
      <c r="P414" s="49">
        <f t="shared" si="115"/>
        <v>0</v>
      </c>
      <c r="Q414" s="49">
        <f t="shared" ref="Q414:S415" si="119">Q417+Q420</f>
        <v>0</v>
      </c>
      <c r="R414" s="49">
        <f t="shared" si="119"/>
        <v>0</v>
      </c>
      <c r="S414" s="49">
        <f t="shared" si="119"/>
        <v>0</v>
      </c>
      <c r="T414" s="49">
        <f t="shared" si="116"/>
        <v>0</v>
      </c>
      <c r="U414" s="49">
        <f t="shared" si="117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67">
        <f t="shared" si="118"/>
        <v>0</v>
      </c>
      <c r="M415" s="47">
        <f t="shared" si="118"/>
        <v>0</v>
      </c>
      <c r="N415" s="47">
        <f t="shared" si="118"/>
        <v>0</v>
      </c>
      <c r="O415" s="47">
        <f t="shared" si="114"/>
        <v>0</v>
      </c>
      <c r="P415" s="47">
        <f t="shared" si="115"/>
        <v>0</v>
      </c>
      <c r="Q415" s="47">
        <f t="shared" ca="1" si="119"/>
        <v>0</v>
      </c>
      <c r="R415" s="47">
        <f t="shared" ca="1" si="119"/>
        <v>0</v>
      </c>
      <c r="S415" s="47">
        <f t="shared" ca="1" si="119"/>
        <v>0</v>
      </c>
      <c r="T415" s="47">
        <f t="shared" ca="1" si="116"/>
        <v>0</v>
      </c>
      <c r="U415" s="47">
        <f t="shared" ca="1" si="117"/>
        <v>0</v>
      </c>
    </row>
    <row r="416" spans="1:21" ht="19.5" hidden="1" x14ac:dyDescent="0.3">
      <c r="A416" s="128"/>
      <c r="B416" s="159"/>
      <c r="C416" s="159"/>
      <c r="D416" s="573" t="s">
        <v>22</v>
      </c>
      <c r="E416" s="159"/>
      <c r="F416" s="159"/>
      <c r="G416" s="191"/>
      <c r="H416" s="336" t="s">
        <v>14</v>
      </c>
      <c r="I416" s="45"/>
      <c r="J416" s="45"/>
      <c r="K416" s="46"/>
      <c r="L416" s="467">
        <f>L417+L418</f>
        <v>0</v>
      </c>
      <c r="M416" s="47">
        <f>M417+M418</f>
        <v>0</v>
      </c>
      <c r="N416" s="47">
        <f>N417+N418</f>
        <v>0</v>
      </c>
      <c r="O416" s="47">
        <f t="shared" si="114"/>
        <v>0</v>
      </c>
      <c r="P416" s="47">
        <f t="shared" si="115"/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t="shared" ca="1" si="116"/>
        <v>0</v>
      </c>
      <c r="U416" s="47">
        <f t="shared" ca="1" si="117"/>
        <v>0</v>
      </c>
    </row>
    <row r="417" spans="1:21" ht="18.75" hidden="1" x14ac:dyDescent="0.25">
      <c r="A417" s="128"/>
      <c r="B417" s="159"/>
      <c r="C417" s="159"/>
      <c r="D417" s="159"/>
      <c r="E417" s="326" t="s">
        <v>158</v>
      </c>
      <c r="F417" s="159"/>
      <c r="G417" s="191"/>
      <c r="H417" s="187" t="s">
        <v>14</v>
      </c>
      <c r="I417" s="45"/>
      <c r="J417" s="45"/>
      <c r="K417" s="46"/>
      <c r="L417" s="468">
        <v>0</v>
      </c>
      <c r="M417" s="49">
        <v>0</v>
      </c>
      <c r="N417" s="49">
        <v>0</v>
      </c>
      <c r="O417" s="49">
        <f t="shared" si="114"/>
        <v>0</v>
      </c>
      <c r="P417" s="49">
        <f t="shared" si="115"/>
        <v>0</v>
      </c>
      <c r="Q417" s="49">
        <v>0</v>
      </c>
      <c r="R417" s="49">
        <v>0</v>
      </c>
      <c r="S417" s="49">
        <v>0</v>
      </c>
      <c r="T417" s="49">
        <f t="shared" si="116"/>
        <v>0</v>
      </c>
      <c r="U417" s="49">
        <f t="shared" si="117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67">
        <v>0</v>
      </c>
      <c r="M418" s="47">
        <v>0</v>
      </c>
      <c r="N418" s="47">
        <v>0</v>
      </c>
      <c r="O418" s="47">
        <f t="shared" si="114"/>
        <v>0</v>
      </c>
      <c r="P418" s="47">
        <f t="shared" si="115"/>
        <v>0</v>
      </c>
      <c r="Q418" s="47">
        <f ca="1">IFERROR(__xludf.DUMMYFUNCTION("IMPORTRANGE(""https://docs.google.com/spreadsheets/d/1ItG2mGa2ceCfYo0BwxsXqNm01IGEUdYcSSLTEv9YCik/edit?usp=sharing"",""เบิกจ่ายกองทุน!BH82"")"),0)</f>
        <v>0</v>
      </c>
      <c r="R418" s="47">
        <f ca="1">IFERROR(__xludf.DUMMYFUNCTION("IMPORTRANGE(""https://docs.google.com/spreadsheets/d/1ItG2mGa2ceCfYo0BwxsXqNm01IGEUdYcSSLTEv9YCik/edit?usp=sharing"",""เบิกจ่ายกองทุน!BI82"")"),0)</f>
        <v>0</v>
      </c>
      <c r="S418" s="47">
        <f ca="1">IFERROR(__xludf.DUMMYFUNCTION("IMPORTRANGE(""https://docs.google.com/spreadsheets/d/1ItG2mGa2ceCfYo0BwxsXqNm01IGEUdYcSSLTEv9YCik/edit?usp=sharing"",""เบิกจ่ายกองทุน!BJ82"")"),0)</f>
        <v>0</v>
      </c>
      <c r="T418" s="47">
        <f t="shared" ca="1" si="116"/>
        <v>0</v>
      </c>
      <c r="U418" s="47">
        <f t="shared" ca="1" si="117"/>
        <v>0</v>
      </c>
    </row>
    <row r="419" spans="1:21" ht="19.5" hidden="1" x14ac:dyDescent="0.3">
      <c r="A419" s="128"/>
      <c r="B419" s="159"/>
      <c r="C419" s="159"/>
      <c r="D419" s="573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67">
        <f>L420+L421</f>
        <v>0</v>
      </c>
      <c r="M419" s="47">
        <f>M420+M421</f>
        <v>0</v>
      </c>
      <c r="N419" s="47">
        <f>N420+N421</f>
        <v>0</v>
      </c>
      <c r="O419" s="47">
        <f t="shared" si="114"/>
        <v>0</v>
      </c>
      <c r="P419" s="47">
        <f t="shared" si="115"/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 t="shared" si="116"/>
        <v>0</v>
      </c>
      <c r="U419" s="47">
        <f t="shared" si="117"/>
        <v>0</v>
      </c>
    </row>
    <row r="420" spans="1:21" ht="18.75" hidden="1" x14ac:dyDescent="0.25">
      <c r="A420" s="128"/>
      <c r="B420" s="159"/>
      <c r="C420" s="159"/>
      <c r="D420" s="159"/>
      <c r="E420" s="326" t="s">
        <v>20</v>
      </c>
      <c r="F420" s="159"/>
      <c r="G420" s="191"/>
      <c r="H420" s="187" t="s">
        <v>14</v>
      </c>
      <c r="I420" s="45"/>
      <c r="J420" s="45"/>
      <c r="K420" s="46"/>
      <c r="L420" s="468">
        <v>0</v>
      </c>
      <c r="M420" s="49">
        <v>0</v>
      </c>
      <c r="N420" s="49">
        <v>0</v>
      </c>
      <c r="O420" s="49">
        <f t="shared" si="114"/>
        <v>0</v>
      </c>
      <c r="P420" s="49">
        <f t="shared" si="115"/>
        <v>0</v>
      </c>
      <c r="Q420" s="49">
        <v>0</v>
      </c>
      <c r="R420" s="49">
        <v>0</v>
      </c>
      <c r="S420" s="49">
        <v>0</v>
      </c>
      <c r="T420" s="49">
        <f t="shared" si="116"/>
        <v>0</v>
      </c>
      <c r="U420" s="49">
        <f t="shared" si="117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67">
        <v>0</v>
      </c>
      <c r="M421" s="47">
        <v>0</v>
      </c>
      <c r="N421" s="47">
        <v>0</v>
      </c>
      <c r="O421" s="47">
        <f t="shared" si="114"/>
        <v>0</v>
      </c>
      <c r="P421" s="47">
        <f t="shared" si="115"/>
        <v>0</v>
      </c>
      <c r="Q421" s="47">
        <v>0</v>
      </c>
      <c r="R421" s="47">
        <v>0</v>
      </c>
      <c r="S421" s="47">
        <v>0</v>
      </c>
      <c r="T421" s="47">
        <f t="shared" si="116"/>
        <v>0</v>
      </c>
      <c r="U421" s="47">
        <f t="shared" si="117"/>
        <v>0</v>
      </c>
    </row>
    <row r="422" spans="1:21" ht="19.5" hidden="1" x14ac:dyDescent="0.3">
      <c r="A422" s="217"/>
      <c r="B422" s="159"/>
      <c r="C422" s="335" t="s">
        <v>18</v>
      </c>
      <c r="D422" s="572" t="s">
        <v>38</v>
      </c>
      <c r="E422" s="159"/>
      <c r="F422" s="159"/>
      <c r="G422" s="191"/>
      <c r="H422" s="191"/>
      <c r="I422" s="45"/>
      <c r="J422" s="45"/>
      <c r="K422" s="46"/>
      <c r="L422" s="465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36" t="s">
        <v>46</v>
      </c>
      <c r="I423" s="147">
        <f ca="1">I440</f>
        <v>0</v>
      </c>
      <c r="J423" s="147">
        <f>J440</f>
        <v>0</v>
      </c>
      <c r="K423" s="132">
        <f ca="1">IF(I423&gt;0,J423*100/I423,0)</f>
        <v>0</v>
      </c>
      <c r="L423" s="465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147">
        <f>J426+J428+J430</f>
        <v>0</v>
      </c>
      <c r="K424" s="132">
        <f ca="1">IF(I424&gt;0,J424*100/I424,0)</f>
        <v>0</v>
      </c>
      <c r="L424" s="465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147">
        <f>J427+J429+J431</f>
        <v>0</v>
      </c>
      <c r="K425" s="132">
        <f ca="1">IF(I425&gt;0,J425*100/I425,0)</f>
        <v>0</v>
      </c>
      <c r="L425" s="465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45"/>
      <c r="K426" s="46"/>
      <c r="L426" s="465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45"/>
      <c r="K427" s="46"/>
      <c r="L427" s="465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45"/>
      <c r="K428" s="46"/>
      <c r="L428" s="465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45"/>
      <c r="K429" s="46"/>
      <c r="L429" s="465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45"/>
      <c r="K430" s="46"/>
      <c r="L430" s="465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45"/>
      <c r="K431" s="46"/>
      <c r="L431" s="465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147">
        <f>J434+J436+J438</f>
        <v>0</v>
      </c>
      <c r="K432" s="132">
        <f ca="1">IF(I432&gt;0,J432*100/I432,0)</f>
        <v>0</v>
      </c>
      <c r="L432" s="465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147">
        <f>J435+J437+J439</f>
        <v>0</v>
      </c>
      <c r="K433" s="132">
        <f ca="1">IF(I433&gt;0,J433*100/I433,0)</f>
        <v>0</v>
      </c>
      <c r="L433" s="465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45"/>
      <c r="K434" s="46"/>
      <c r="L434" s="465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45"/>
      <c r="K435" s="46"/>
      <c r="L435" s="465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45"/>
      <c r="K436" s="46"/>
      <c r="L436" s="465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45"/>
      <c r="K437" s="46"/>
      <c r="L437" s="465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45"/>
      <c r="K438" s="46"/>
      <c r="L438" s="465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45"/>
      <c r="K439" s="46"/>
      <c r="L439" s="465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147">
        <f>J442+J444+J446+J452+J454</f>
        <v>0</v>
      </c>
      <c r="K440" s="132">
        <f ca="1">IF(I440&gt;0,J440*100/I440,0)</f>
        <v>0</v>
      </c>
      <c r="L440" s="465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147">
        <f>J443+J445+J447+J453+J455</f>
        <v>0</v>
      </c>
      <c r="K441" s="132">
        <f ca="1">IF(I441&gt;0,J441*100/I441,0)</f>
        <v>0</v>
      </c>
      <c r="L441" s="465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45"/>
      <c r="K442" s="46"/>
      <c r="L442" s="465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45"/>
      <c r="K443" s="46"/>
      <c r="L443" s="465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45"/>
      <c r="K444" s="46"/>
      <c r="L444" s="465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45"/>
      <c r="K445" s="46"/>
      <c r="L445" s="465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>J448+J450</f>
        <v>0</v>
      </c>
      <c r="K446" s="46"/>
      <c r="L446" s="465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>J449+J451</f>
        <v>0</v>
      </c>
      <c r="K447" s="46"/>
      <c r="L447" s="465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45"/>
      <c r="K448" s="46"/>
      <c r="L448" s="465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45"/>
      <c r="K449" s="46"/>
      <c r="L449" s="465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45"/>
      <c r="K450" s="46"/>
      <c r="L450" s="465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45"/>
      <c r="K451" s="46"/>
      <c r="L451" s="465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45"/>
      <c r="K452" s="46"/>
      <c r="L452" s="465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45"/>
      <c r="K453" s="46"/>
      <c r="L453" s="465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571"/>
      <c r="K454" s="46"/>
      <c r="L454" s="465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45"/>
      <c r="K455" s="46"/>
      <c r="L455" s="465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36" t="s">
        <v>46</v>
      </c>
      <c r="I456" s="147">
        <f ca="1">I457</f>
        <v>0</v>
      </c>
      <c r="J456" s="147">
        <f>J457</f>
        <v>0</v>
      </c>
      <c r="K456" s="132">
        <f ca="1">IF(I456&gt;0,J456*100/I456,0)</f>
        <v>0</v>
      </c>
      <c r="L456" s="465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IFERROR(__xludf.DUMMYFUNCTION("IMPORTRANGE(""https://docs.google.com/spreadsheets/d/1eHaY18a8A9IcSdp1K8H6x8fbOy06t2VsZHhMHf-1x7Y/edit?usp=sharing"",""แผน!HL82"")"),0)</f>
        <v>0</v>
      </c>
      <c r="J457" s="147">
        <f>J459+J467+J473</f>
        <v>0</v>
      </c>
      <c r="K457" s="132">
        <f ca="1">IF(I457&gt;0,J457*100/I457,0)</f>
        <v>0</v>
      </c>
      <c r="L457" s="465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147">
        <f>J460+J468+J474</f>
        <v>0</v>
      </c>
      <c r="K458" s="132">
        <f ca="1">IF(I458&gt;0,J458*100/I458,0)</f>
        <v>0</v>
      </c>
      <c r="L458" s="465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>J461+J463</f>
        <v>0</v>
      </c>
      <c r="K459" s="46"/>
      <c r="L459" s="465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>J462+J464</f>
        <v>0</v>
      </c>
      <c r="K460" s="46"/>
      <c r="L460" s="465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39" t="s">
        <v>180</v>
      </c>
      <c r="E461" s="159"/>
      <c r="F461" s="159"/>
      <c r="G461" s="191"/>
      <c r="H461" s="133" t="s">
        <v>46</v>
      </c>
      <c r="I461" s="45"/>
      <c r="J461" s="45"/>
      <c r="K461" s="46"/>
      <c r="L461" s="465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45"/>
      <c r="K462" s="46"/>
      <c r="L462" s="465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39" t="s">
        <v>181</v>
      </c>
      <c r="E463" s="159"/>
      <c r="F463" s="159"/>
      <c r="G463" s="191"/>
      <c r="H463" s="133" t="s">
        <v>46</v>
      </c>
      <c r="I463" s="45"/>
      <c r="J463" s="45"/>
      <c r="K463" s="46"/>
      <c r="L463" s="465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45"/>
      <c r="K464" s="46"/>
      <c r="L464" s="465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39" t="s">
        <v>182</v>
      </c>
      <c r="E465" s="159"/>
      <c r="F465" s="159"/>
      <c r="G465" s="191"/>
      <c r="H465" s="133" t="s">
        <v>46</v>
      </c>
      <c r="I465" s="45"/>
      <c r="J465" s="45"/>
      <c r="K465" s="46"/>
      <c r="L465" s="465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45"/>
      <c r="K466" s="46"/>
      <c r="L466" s="465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39" t="s">
        <v>183</v>
      </c>
      <c r="D467" s="159"/>
      <c r="E467" s="159"/>
      <c r="F467" s="159"/>
      <c r="G467" s="191"/>
      <c r="H467" s="133" t="s">
        <v>46</v>
      </c>
      <c r="I467" s="45"/>
      <c r="J467" s="152">
        <f>J469+J471</f>
        <v>0</v>
      </c>
      <c r="K467" s="46"/>
      <c r="L467" s="465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>J470+J472</f>
        <v>0</v>
      </c>
      <c r="K468" s="46"/>
      <c r="L468" s="465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39" t="s">
        <v>184</v>
      </c>
      <c r="E469" s="159"/>
      <c r="F469" s="159"/>
      <c r="G469" s="191"/>
      <c r="H469" s="133" t="s">
        <v>46</v>
      </c>
      <c r="I469" s="45"/>
      <c r="J469" s="45"/>
      <c r="K469" s="46"/>
      <c r="L469" s="465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45"/>
      <c r="K470" s="46"/>
      <c r="L470" s="465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39" t="s">
        <v>185</v>
      </c>
      <c r="E471" s="159"/>
      <c r="F471" s="159"/>
      <c r="G471" s="191"/>
      <c r="H471" s="133" t="s">
        <v>46</v>
      </c>
      <c r="I471" s="45"/>
      <c r="J471" s="45"/>
      <c r="K471" s="46"/>
      <c r="L471" s="465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45"/>
      <c r="K472" s="46"/>
      <c r="L472" s="465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45"/>
      <c r="K473" s="46"/>
      <c r="L473" s="465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45"/>
      <c r="K474" s="46"/>
      <c r="L474" s="465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0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>J478+J480</f>
        <v>0</v>
      </c>
      <c r="K475" s="132">
        <f>IF(I475&gt;0,J475*100/I475,0)</f>
        <v>0</v>
      </c>
      <c r="L475" s="465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>J478+J480</f>
        <v>0</v>
      </c>
      <c r="K476" s="132">
        <f>IF(I476&gt;0,J476*100/I476,0)</f>
        <v>0</v>
      </c>
      <c r="L476" s="465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>J479+J481</f>
        <v>0</v>
      </c>
      <c r="K477" s="132">
        <f>IF(I477&gt;0,J477*100/I477,0)</f>
        <v>0</v>
      </c>
      <c r="L477" s="465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45"/>
      <c r="K478" s="46"/>
      <c r="L478" s="465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45"/>
      <c r="K479" s="46"/>
      <c r="L479" s="465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39" t="s">
        <v>191</v>
      </c>
      <c r="E480" s="159"/>
      <c r="F480" s="159"/>
      <c r="G480" s="191"/>
      <c r="H480" s="133" t="s">
        <v>46</v>
      </c>
      <c r="I480" s="45"/>
      <c r="J480" s="45"/>
      <c r="K480" s="46"/>
      <c r="L480" s="465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45"/>
      <c r="K481" s="46"/>
      <c r="L481" s="465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39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IFERROR(__xludf.DUMMYFUNCTION("IMPORTRANGE(""https://docs.google.com/spreadsheets/d/1eHaY18a8A9IcSdp1K8H6x8fbOy06t2VsZHhMHf-1x7Y/edit?usp=sharing"",""แผน!HN82"")"),0)</f>
        <v>0</v>
      </c>
      <c r="K482" s="46"/>
      <c r="L482" s="465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IFERROR(__xludf.DUMMYFUNCTION("IMPORTRANGE(""https://docs.google.com/spreadsheets/d/1eHaY18a8A9IcSdp1K8H6x8fbOy06t2VsZHhMHf-1x7Y/edit?usp=sharing"",""แผน!HO82"")"),0)</f>
        <v>0</v>
      </c>
      <c r="K483" s="46"/>
      <c r="L483" s="465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147">
        <f>J486+J488+J490</f>
        <v>0</v>
      </c>
      <c r="K484" s="132">
        <f>IF(I484&gt;0,J484*100/I484,0)</f>
        <v>0</v>
      </c>
      <c r="L484" s="465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147">
        <f>J487+J489+J491</f>
        <v>0</v>
      </c>
      <c r="K485" s="132">
        <f>IF(I485&gt;0,J485*100/I485,0)</f>
        <v>0</v>
      </c>
      <c r="L485" s="465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39" t="s">
        <v>195</v>
      </c>
      <c r="E486" s="159"/>
      <c r="F486" s="159"/>
      <c r="G486" s="191"/>
      <c r="H486" s="133" t="s">
        <v>46</v>
      </c>
      <c r="I486" s="45"/>
      <c r="J486" s="45"/>
      <c r="K486" s="46"/>
      <c r="L486" s="465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45"/>
      <c r="K487" s="46"/>
      <c r="L487" s="465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39" t="s">
        <v>196</v>
      </c>
      <c r="E488" s="159"/>
      <c r="F488" s="159"/>
      <c r="G488" s="191"/>
      <c r="H488" s="133" t="s">
        <v>46</v>
      </c>
      <c r="I488" s="45"/>
      <c r="J488" s="45"/>
      <c r="K488" s="46"/>
      <c r="L488" s="465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45"/>
      <c r="K489" s="46"/>
      <c r="L489" s="465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39" t="s">
        <v>197</v>
      </c>
      <c r="E490" s="159"/>
      <c r="F490" s="159"/>
      <c r="G490" s="191"/>
      <c r="H490" s="133" t="s">
        <v>46</v>
      </c>
      <c r="I490" s="45"/>
      <c r="J490" s="45"/>
      <c r="K490" s="46"/>
      <c r="L490" s="465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41"/>
      <c r="B491" s="3"/>
      <c r="C491" s="3"/>
      <c r="D491" s="3"/>
      <c r="E491" s="3"/>
      <c r="F491" s="3"/>
      <c r="G491" s="342"/>
      <c r="H491" s="343" t="s">
        <v>34</v>
      </c>
      <c r="I491" s="55"/>
      <c r="J491" s="55"/>
      <c r="K491" s="4"/>
      <c r="L491" s="46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4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570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787" t="s">
        <v>19</v>
      </c>
      <c r="E493" s="760"/>
      <c r="F493" s="760"/>
      <c r="G493" s="43"/>
      <c r="H493" s="232" t="s">
        <v>14</v>
      </c>
      <c r="I493" s="45"/>
      <c r="J493" s="45"/>
      <c r="K493" s="46"/>
      <c r="L493" s="469">
        <f>L494+L495</f>
        <v>0</v>
      </c>
      <c r="M493" s="132">
        <f>M494+M495</f>
        <v>0</v>
      </c>
      <c r="N493" s="132">
        <f>N494+N495</f>
        <v>0</v>
      </c>
      <c r="O493" s="132">
        <f t="shared" ref="O493:O501" si="120">IF(L493&gt;0,N493*100/L493,0)</f>
        <v>0</v>
      </c>
      <c r="P493" s="132">
        <f t="shared" ref="P493:P501" si="12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t="shared" ref="T493:T501" ca="1" si="122">IF(Q493&gt;0,S493*100/Q493,0)</f>
        <v>0</v>
      </c>
      <c r="U493" s="132">
        <f t="shared" ref="U493:U501" ca="1" si="123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68">
        <f t="shared" ref="L494:N495" si="124">L497+L500</f>
        <v>0</v>
      </c>
      <c r="M494" s="49">
        <f t="shared" si="124"/>
        <v>0</v>
      </c>
      <c r="N494" s="49">
        <f t="shared" si="124"/>
        <v>0</v>
      </c>
      <c r="O494" s="49">
        <f t="shared" si="120"/>
        <v>0</v>
      </c>
      <c r="P494" s="49">
        <f t="shared" si="121"/>
        <v>0</v>
      </c>
      <c r="Q494" s="49">
        <f t="shared" ref="Q494:S495" si="125">Q497+Q500</f>
        <v>0</v>
      </c>
      <c r="R494" s="49">
        <f t="shared" si="125"/>
        <v>0</v>
      </c>
      <c r="S494" s="49">
        <f t="shared" si="125"/>
        <v>0</v>
      </c>
      <c r="T494" s="49">
        <f t="shared" si="122"/>
        <v>0</v>
      </c>
      <c r="U494" s="49">
        <f t="shared" si="123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67">
        <f t="shared" si="124"/>
        <v>0</v>
      </c>
      <c r="M495" s="47">
        <f t="shared" si="124"/>
        <v>0</v>
      </c>
      <c r="N495" s="47">
        <f t="shared" si="124"/>
        <v>0</v>
      </c>
      <c r="O495" s="47">
        <f t="shared" si="120"/>
        <v>0</v>
      </c>
      <c r="P495" s="47">
        <f t="shared" si="121"/>
        <v>0</v>
      </c>
      <c r="Q495" s="47">
        <f t="shared" ca="1" si="125"/>
        <v>0</v>
      </c>
      <c r="R495" s="47">
        <f t="shared" ca="1" si="125"/>
        <v>0</v>
      </c>
      <c r="S495" s="47">
        <f t="shared" ca="1" si="125"/>
        <v>0</v>
      </c>
      <c r="T495" s="47">
        <f t="shared" ca="1" si="122"/>
        <v>0</v>
      </c>
      <c r="U495" s="47">
        <f t="shared" ca="1" si="123"/>
        <v>0</v>
      </c>
    </row>
    <row r="496" spans="1:21" ht="18.75" hidden="1" x14ac:dyDescent="0.25">
      <c r="A496" s="128"/>
      <c r="B496" s="159"/>
      <c r="C496" s="159"/>
      <c r="D496" s="56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67">
        <f>L497+L498</f>
        <v>0</v>
      </c>
      <c r="M496" s="47">
        <f>M497+M498</f>
        <v>0</v>
      </c>
      <c r="N496" s="47">
        <f>N497+N498</f>
        <v>0</v>
      </c>
      <c r="O496" s="47">
        <f t="shared" si="120"/>
        <v>0</v>
      </c>
      <c r="P496" s="47">
        <f t="shared" si="121"/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t="shared" ca="1" si="122"/>
        <v>0</v>
      </c>
      <c r="U496" s="47">
        <f t="shared" ca="1" si="123"/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68">
        <v>0</v>
      </c>
      <c r="M497" s="49">
        <v>0</v>
      </c>
      <c r="N497" s="49">
        <v>0</v>
      </c>
      <c r="O497" s="49">
        <f t="shared" si="120"/>
        <v>0</v>
      </c>
      <c r="P497" s="49">
        <f t="shared" si="121"/>
        <v>0</v>
      </c>
      <c r="Q497" s="49">
        <v>0</v>
      </c>
      <c r="R497" s="49">
        <v>0</v>
      </c>
      <c r="S497" s="49">
        <v>0</v>
      </c>
      <c r="T497" s="49">
        <f t="shared" si="122"/>
        <v>0</v>
      </c>
      <c r="U497" s="49">
        <f t="shared" si="123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67">
        <v>0</v>
      </c>
      <c r="M498" s="47">
        <v>0</v>
      </c>
      <c r="N498" s="47">
        <v>0</v>
      </c>
      <c r="O498" s="47">
        <f t="shared" si="120"/>
        <v>0</v>
      </c>
      <c r="P498" s="47">
        <f t="shared" si="121"/>
        <v>0</v>
      </c>
      <c r="Q498" s="47">
        <f ca="1">IFERROR(__xludf.DUMMYFUNCTION("IMPORTRANGE(""https://docs.google.com/spreadsheets/d/1ItG2mGa2ceCfYo0BwxsXqNm01IGEUdYcSSLTEv9YCik/edit?usp=sharing"",""เบิกจ่ายกองทุน!X82"")"),0)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IFERROR(__xludf.DUMMYFUNCTION("IMPORTRANGE(""https://docs.google.com/spreadsheets/d/1ItG2mGa2ceCfYo0BwxsXqNm01IGEUdYcSSLTEv9YCik/edit?usp=sharing"",""เบิกจ่ายกองทุน!Y82"")"),0)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IFERROR(__xludf.DUMMYFUNCTION("IMPORTRANGE(""https://docs.google.com/spreadsheets/d/1ItG2mGa2ceCfYo0BwxsXqNm01IGEUdYcSSLTEv9YCik/edit?usp=sharing"",""เบิกจ่ายกองทุน!Z82"")"),0)</f>
        <v>0</v>
      </c>
      <c r="T498" s="47">
        <f t="shared" ca="1" si="122"/>
        <v>0</v>
      </c>
      <c r="U498" s="47">
        <f t="shared" ca="1" si="123"/>
        <v>0</v>
      </c>
    </row>
    <row r="499" spans="1:21" ht="18.75" hidden="1" x14ac:dyDescent="0.25">
      <c r="A499" s="128"/>
      <c r="B499" s="159"/>
      <c r="C499" s="159"/>
      <c r="D499" s="56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67">
        <f>L500+L501</f>
        <v>0</v>
      </c>
      <c r="M499" s="47">
        <f>M500+M501</f>
        <v>0</v>
      </c>
      <c r="N499" s="47">
        <f>N500+N501</f>
        <v>0</v>
      </c>
      <c r="O499" s="47">
        <f t="shared" si="120"/>
        <v>0</v>
      </c>
      <c r="P499" s="47">
        <f t="shared" si="121"/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 t="shared" si="122"/>
        <v>0</v>
      </c>
      <c r="U499" s="47">
        <f t="shared" si="123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68">
        <v>0</v>
      </c>
      <c r="M500" s="49">
        <v>0</v>
      </c>
      <c r="N500" s="49">
        <v>0</v>
      </c>
      <c r="O500" s="49">
        <f t="shared" si="120"/>
        <v>0</v>
      </c>
      <c r="P500" s="49">
        <f t="shared" si="121"/>
        <v>0</v>
      </c>
      <c r="Q500" s="49">
        <v>0</v>
      </c>
      <c r="R500" s="49">
        <v>0</v>
      </c>
      <c r="S500" s="49">
        <v>0</v>
      </c>
      <c r="T500" s="49">
        <f t="shared" si="122"/>
        <v>0</v>
      </c>
      <c r="U500" s="49">
        <f t="shared" si="123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67">
        <v>0</v>
      </c>
      <c r="M501" s="47">
        <v>0</v>
      </c>
      <c r="N501" s="47">
        <v>0</v>
      </c>
      <c r="O501" s="47">
        <f t="shared" si="120"/>
        <v>0</v>
      </c>
      <c r="P501" s="47">
        <f t="shared" si="121"/>
        <v>0</v>
      </c>
      <c r="Q501" s="47">
        <v>0</v>
      </c>
      <c r="R501" s="47">
        <v>0</v>
      </c>
      <c r="S501" s="47">
        <v>0</v>
      </c>
      <c r="T501" s="47">
        <f t="shared" si="122"/>
        <v>0</v>
      </c>
      <c r="U501" s="47">
        <f t="shared" si="123"/>
        <v>0</v>
      </c>
    </row>
    <row r="502" spans="1:21" ht="19.5" hidden="1" x14ac:dyDescent="0.3">
      <c r="A502" s="138"/>
      <c r="B502" s="139"/>
      <c r="C502" s="188" t="s">
        <v>18</v>
      </c>
      <c r="D502" s="487" t="s">
        <v>38</v>
      </c>
      <c r="E502" s="141"/>
      <c r="F502" s="141"/>
      <c r="G502" s="142"/>
      <c r="H502" s="189"/>
      <c r="I502" s="135"/>
      <c r="J502" s="135"/>
      <c r="K502" s="136"/>
      <c r="L502" s="48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t="shared" ref="K503:K509" ca="1" si="126">IF(I503&gt;0,J503*100/I503,0)</f>
        <v>0</v>
      </c>
      <c r="L503" s="465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t="shared" ca="1" si="126"/>
        <v>0</v>
      </c>
      <c r="L504" s="465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t="shared" ca="1" si="126"/>
        <v>0</v>
      </c>
      <c r="L505" s="465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t="shared" ca="1" si="126"/>
        <v>0</v>
      </c>
      <c r="L506" s="465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44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t="shared" ca="1" si="126"/>
        <v>0</v>
      </c>
      <c r="L507" s="465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126"/>
        <v>0</v>
      </c>
      <c r="L508" s="465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41"/>
      <c r="B509" s="3"/>
      <c r="C509" s="3"/>
      <c r="D509" s="345" t="s">
        <v>50</v>
      </c>
      <c r="E509" s="1"/>
      <c r="F509" s="1"/>
      <c r="G509" s="53"/>
      <c r="H509" s="343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46">
        <v>0</v>
      </c>
      <c r="K509" s="111">
        <f t="shared" ca="1" si="126"/>
        <v>0</v>
      </c>
      <c r="L509" s="46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24" t="s">
        <v>205</v>
      </c>
      <c r="B510" s="348"/>
      <c r="C510" s="348"/>
      <c r="D510" s="348"/>
      <c r="E510" s="349"/>
      <c r="F510" s="349"/>
      <c r="G510" s="349"/>
      <c r="H510" s="349"/>
      <c r="I510" s="350"/>
      <c r="J510" s="350"/>
      <c r="K510" s="351"/>
      <c r="L510" s="563"/>
      <c r="M510" s="353"/>
      <c r="N510" s="353"/>
      <c r="O510" s="353"/>
      <c r="P510" s="353"/>
      <c r="Q510" s="353"/>
      <c r="R510" s="353"/>
      <c r="S510" s="353"/>
      <c r="T510" s="353"/>
      <c r="U510" s="353"/>
    </row>
    <row r="511" spans="1:21" ht="19.5" hidden="1" x14ac:dyDescent="0.3">
      <c r="A511" s="723" t="s">
        <v>206</v>
      </c>
      <c r="B511" s="355"/>
      <c r="C511" s="355"/>
      <c r="D511" s="356"/>
      <c r="E511" s="355"/>
      <c r="F511" s="355"/>
      <c r="G511" s="355"/>
      <c r="H511" s="357"/>
      <c r="I511" s="358"/>
      <c r="J511" s="358"/>
      <c r="K511" s="359"/>
      <c r="L511" s="556"/>
      <c r="M511" s="360"/>
      <c r="N511" s="360"/>
      <c r="O511" s="360"/>
      <c r="P511" s="360"/>
      <c r="Q511" s="360"/>
      <c r="R511" s="360"/>
      <c r="S511" s="360"/>
      <c r="T511" s="360"/>
      <c r="U511" s="360"/>
    </row>
    <row r="512" spans="1:21" ht="19.5" hidden="1" x14ac:dyDescent="0.3">
      <c r="A512" s="361"/>
      <c r="B512" s="722" t="s">
        <v>207</v>
      </c>
      <c r="C512" s="363"/>
      <c r="D512" s="364"/>
      <c r="E512" s="364"/>
      <c r="F512" s="364"/>
      <c r="G512" s="365"/>
      <c r="H512" s="721" t="s">
        <v>61</v>
      </c>
      <c r="I512" s="720">
        <f>I524</f>
        <v>0</v>
      </c>
      <c r="J512" s="720">
        <f>J524</f>
        <v>0</v>
      </c>
      <c r="K512" s="719">
        <f>IF(I512&gt;0,J512*100/I512,0)</f>
        <v>0</v>
      </c>
      <c r="L512" s="504"/>
      <c r="M512" s="369"/>
      <c r="N512" s="369"/>
      <c r="O512" s="369"/>
      <c r="P512" s="369"/>
      <c r="Q512" s="369"/>
      <c r="R512" s="369"/>
      <c r="S512" s="369"/>
      <c r="T512" s="369"/>
      <c r="U512" s="369"/>
    </row>
    <row r="513" spans="1:21" ht="19.5" hidden="1" x14ac:dyDescent="0.3">
      <c r="A513" s="128"/>
      <c r="B513" s="41"/>
      <c r="C513" s="648" t="s">
        <v>18</v>
      </c>
      <c r="D513" s="490" t="s">
        <v>19</v>
      </c>
      <c r="E513" s="41"/>
      <c r="F513" s="41"/>
      <c r="G513" s="43"/>
      <c r="H513" s="718" t="s">
        <v>14</v>
      </c>
      <c r="I513" s="45"/>
      <c r="J513" s="45"/>
      <c r="K513" s="46"/>
      <c r="L513" s="469">
        <f ca="1">L514+L515</f>
        <v>0</v>
      </c>
      <c r="M513" s="132">
        <f ca="1">M514+M515</f>
        <v>0</v>
      </c>
      <c r="N513" s="132">
        <f ca="1">N514+N515</f>
        <v>0</v>
      </c>
      <c r="O513" s="132">
        <f t="shared" ref="O513:O521" ca="1" si="127">IF(L513&gt;0,N513*100/L513,0)</f>
        <v>0</v>
      </c>
      <c r="P513" s="132">
        <f t="shared" ref="P513:P521" ca="1" si="128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 t="shared" ref="T513:T521" si="129">IF(Q513&gt;0,S513*100/Q513,0)</f>
        <v>0</v>
      </c>
      <c r="U513" s="132">
        <f t="shared" ref="U513:U521" si="130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468">
        <f t="shared" ref="L514:N515" si="131">L517+L520</f>
        <v>0</v>
      </c>
      <c r="M514" s="49">
        <f t="shared" si="131"/>
        <v>0</v>
      </c>
      <c r="N514" s="49">
        <f t="shared" si="131"/>
        <v>0</v>
      </c>
      <c r="O514" s="49">
        <f t="shared" si="127"/>
        <v>0</v>
      </c>
      <c r="P514" s="49">
        <f t="shared" si="128"/>
        <v>0</v>
      </c>
      <c r="Q514" s="49">
        <f t="shared" ref="Q514:S515" si="132">Q517+Q520</f>
        <v>0</v>
      </c>
      <c r="R514" s="49">
        <f t="shared" si="132"/>
        <v>0</v>
      </c>
      <c r="S514" s="49">
        <f t="shared" si="132"/>
        <v>0</v>
      </c>
      <c r="T514" s="49">
        <f t="shared" si="129"/>
        <v>0</v>
      </c>
      <c r="U514" s="49">
        <f t="shared" si="130"/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467">
        <f t="shared" ca="1" si="131"/>
        <v>0</v>
      </c>
      <c r="M515" s="47">
        <f t="shared" ca="1" si="131"/>
        <v>0</v>
      </c>
      <c r="N515" s="47">
        <f t="shared" ca="1" si="131"/>
        <v>0</v>
      </c>
      <c r="O515" s="47">
        <f t="shared" ca="1" si="127"/>
        <v>0</v>
      </c>
      <c r="P515" s="47">
        <f t="shared" ca="1" si="128"/>
        <v>0</v>
      </c>
      <c r="Q515" s="47">
        <f t="shared" si="132"/>
        <v>0</v>
      </c>
      <c r="R515" s="47">
        <f t="shared" si="132"/>
        <v>0</v>
      </c>
      <c r="S515" s="47">
        <f t="shared" si="132"/>
        <v>0</v>
      </c>
      <c r="T515" s="47">
        <f t="shared" si="129"/>
        <v>0</v>
      </c>
      <c r="U515" s="47">
        <f t="shared" si="130"/>
        <v>0</v>
      </c>
    </row>
    <row r="516" spans="1:21" ht="18.75" hidden="1" x14ac:dyDescent="0.25">
      <c r="A516" s="128"/>
      <c r="B516" s="41"/>
      <c r="C516" s="41"/>
      <c r="D516" s="717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467">
        <f ca="1">L517+L518</f>
        <v>0</v>
      </c>
      <c r="M516" s="47">
        <f ca="1">M517+M518</f>
        <v>0</v>
      </c>
      <c r="N516" s="47">
        <f ca="1">N517+N518</f>
        <v>0</v>
      </c>
      <c r="O516" s="47">
        <f t="shared" ca="1" si="127"/>
        <v>0</v>
      </c>
      <c r="P516" s="47">
        <f t="shared" ca="1" si="128"/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 t="shared" si="129"/>
        <v>0</v>
      </c>
      <c r="U516" s="47">
        <f t="shared" si="130"/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468">
        <v>0</v>
      </c>
      <c r="M517" s="49">
        <v>0</v>
      </c>
      <c r="N517" s="49">
        <v>0</v>
      </c>
      <c r="O517" s="49">
        <f t="shared" si="127"/>
        <v>0</v>
      </c>
      <c r="P517" s="49">
        <f t="shared" si="128"/>
        <v>0</v>
      </c>
      <c r="Q517" s="49">
        <v>0</v>
      </c>
      <c r="R517" s="49">
        <v>0</v>
      </c>
      <c r="S517" s="49">
        <v>0</v>
      </c>
      <c r="T517" s="49">
        <f t="shared" si="129"/>
        <v>0</v>
      </c>
      <c r="U517" s="49">
        <f t="shared" si="130"/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467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t="shared" ca="1" si="127"/>
        <v>0</v>
      </c>
      <c r="P518" s="47">
        <f t="shared" ca="1" si="128"/>
        <v>0</v>
      </c>
      <c r="Q518" s="47">
        <v>0</v>
      </c>
      <c r="R518" s="47">
        <v>0</v>
      </c>
      <c r="S518" s="47">
        <v>0</v>
      </c>
      <c r="T518" s="47">
        <f t="shared" si="129"/>
        <v>0</v>
      </c>
      <c r="U518" s="47">
        <f t="shared" si="130"/>
        <v>0</v>
      </c>
    </row>
    <row r="519" spans="1:21" ht="18.75" hidden="1" x14ac:dyDescent="0.25">
      <c r="A519" s="128"/>
      <c r="B519" s="41"/>
      <c r="C519" s="41"/>
      <c r="D519" s="717" t="s">
        <v>23</v>
      </c>
      <c r="E519" s="41"/>
      <c r="F519" s="41"/>
      <c r="G519" s="43"/>
      <c r="H519" s="387" t="s">
        <v>14</v>
      </c>
      <c r="I519" s="135"/>
      <c r="J519" s="135"/>
      <c r="K519" s="136"/>
      <c r="L519" s="467">
        <f ca="1">L520+L521</f>
        <v>0</v>
      </c>
      <c r="M519" s="47">
        <f ca="1">M520+M521</f>
        <v>0</v>
      </c>
      <c r="N519" s="47">
        <f ca="1">N520+N521</f>
        <v>0</v>
      </c>
      <c r="O519" s="47">
        <f t="shared" ca="1" si="127"/>
        <v>0</v>
      </c>
      <c r="P519" s="47">
        <f t="shared" ca="1" si="128"/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 t="shared" si="129"/>
        <v>0</v>
      </c>
      <c r="U519" s="47">
        <f t="shared" si="130"/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468">
        <v>0</v>
      </c>
      <c r="M520" s="49">
        <v>0</v>
      </c>
      <c r="N520" s="49">
        <v>0</v>
      </c>
      <c r="O520" s="49">
        <f t="shared" si="127"/>
        <v>0</v>
      </c>
      <c r="P520" s="49">
        <f t="shared" si="128"/>
        <v>0</v>
      </c>
      <c r="Q520" s="49">
        <v>0</v>
      </c>
      <c r="R520" s="49">
        <v>0</v>
      </c>
      <c r="S520" s="49">
        <v>0</v>
      </c>
      <c r="T520" s="49">
        <f t="shared" si="129"/>
        <v>0</v>
      </c>
      <c r="U520" s="49">
        <f t="shared" si="130"/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387" t="s">
        <v>14</v>
      </c>
      <c r="I521" s="135"/>
      <c r="J521" s="135"/>
      <c r="K521" s="136"/>
      <c r="L521" s="467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t="shared" ca="1" si="127"/>
        <v>0</v>
      </c>
      <c r="P521" s="47">
        <f t="shared" ca="1" si="128"/>
        <v>0</v>
      </c>
      <c r="Q521" s="47">
        <v>0</v>
      </c>
      <c r="R521" s="47">
        <v>0</v>
      </c>
      <c r="S521" s="47">
        <v>0</v>
      </c>
      <c r="T521" s="47">
        <f t="shared" si="129"/>
        <v>0</v>
      </c>
      <c r="U521" s="47">
        <f t="shared" si="130"/>
        <v>0</v>
      </c>
    </row>
    <row r="522" spans="1:21" ht="19.5" hidden="1" x14ac:dyDescent="0.3">
      <c r="A522" s="138"/>
      <c r="B522" s="139"/>
      <c r="C522" s="648" t="s">
        <v>18</v>
      </c>
      <c r="D522" s="501" t="s">
        <v>38</v>
      </c>
      <c r="E522" s="141"/>
      <c r="F522" s="141"/>
      <c r="G522" s="142"/>
      <c r="H522" s="143"/>
      <c r="I522" s="135"/>
      <c r="J522" s="45"/>
      <c r="K522" s="46"/>
      <c r="L522" s="465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674" t="s">
        <v>11</v>
      </c>
      <c r="I523" s="327">
        <v>0</v>
      </c>
      <c r="J523" s="641">
        <v>0</v>
      </c>
      <c r="K523" s="49">
        <f>IF(I523&gt;0,J523*100/I523,0)</f>
        <v>0</v>
      </c>
      <c r="L523" s="465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41"/>
      <c r="B524" s="1"/>
      <c r="C524" s="3"/>
      <c r="D524" s="716" t="s">
        <v>209</v>
      </c>
      <c r="E524" s="264"/>
      <c r="F524" s="1"/>
      <c r="G524" s="53"/>
      <c r="H524" s="715" t="s">
        <v>61</v>
      </c>
      <c r="I524" s="443">
        <v>0</v>
      </c>
      <c r="J524" s="677">
        <v>0</v>
      </c>
      <c r="K524" s="676">
        <f>IF(I524&gt;0,J524*100/I524,0)</f>
        <v>0</v>
      </c>
      <c r="L524" s="465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512"/>
      <c r="B525" s="511"/>
      <c r="C525" s="511"/>
      <c r="D525" s="510"/>
      <c r="E525" s="510"/>
      <c r="F525" s="510"/>
      <c r="G525" s="509"/>
      <c r="H525" s="508"/>
      <c r="I525" s="507"/>
      <c r="J525" s="507"/>
      <c r="K525" s="506"/>
      <c r="L525" s="503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03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03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03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03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03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03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72"/>
      <c r="B532" s="328"/>
      <c r="C532" s="328"/>
      <c r="D532" s="373"/>
      <c r="E532" s="373"/>
      <c r="F532" s="373"/>
      <c r="G532" s="374"/>
      <c r="H532" s="329"/>
      <c r="I532" s="330"/>
      <c r="J532" s="330"/>
      <c r="K532" s="331"/>
      <c r="L532" s="491"/>
      <c r="M532" s="331"/>
      <c r="N532" s="331"/>
      <c r="O532" s="331"/>
      <c r="P532" s="331"/>
      <c r="Q532" s="331"/>
      <c r="R532" s="331"/>
      <c r="S532" s="331"/>
      <c r="T532" s="331"/>
      <c r="U532" s="331"/>
    </row>
    <row r="533" spans="1:21" ht="19.5" hidden="1" x14ac:dyDescent="0.3">
      <c r="A533" s="361"/>
      <c r="B533" s="362" t="s">
        <v>210</v>
      </c>
      <c r="C533" s="363"/>
      <c r="D533" s="364"/>
      <c r="E533" s="364"/>
      <c r="F533" s="364"/>
      <c r="G533" s="365"/>
      <c r="H533" s="375" t="s">
        <v>61</v>
      </c>
      <c r="I533" s="505">
        <f>I545</f>
        <v>0</v>
      </c>
      <c r="J533" s="505">
        <f>J545</f>
        <v>0</v>
      </c>
      <c r="K533" s="368">
        <f>IF(I533&gt;0,J533*100/I533,0)</f>
        <v>0</v>
      </c>
      <c r="L533" s="504"/>
      <c r="M533" s="369"/>
      <c r="N533" s="369"/>
      <c r="O533" s="369"/>
      <c r="P533" s="369"/>
      <c r="Q533" s="369"/>
      <c r="R533" s="369"/>
      <c r="S533" s="369"/>
      <c r="T533" s="369"/>
      <c r="U533" s="369"/>
    </row>
    <row r="534" spans="1:21" ht="19.5" hidden="1" x14ac:dyDescent="0.3">
      <c r="A534" s="128"/>
      <c r="B534" s="41"/>
      <c r="C534" s="129" t="s">
        <v>18</v>
      </c>
      <c r="D534" s="47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469">
        <f>L535+L536</f>
        <v>0</v>
      </c>
      <c r="M534" s="132">
        <f>M535+M536</f>
        <v>0</v>
      </c>
      <c r="N534" s="132">
        <f>N535+N536</f>
        <v>0</v>
      </c>
      <c r="O534" s="132">
        <f t="shared" ref="O534:O542" si="133">IF(L534&gt;0,N534*100/L534,0)</f>
        <v>0</v>
      </c>
      <c r="P534" s="132">
        <f t="shared" ref="P534:P542" si="134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 t="shared" ref="T534:T542" si="135">IF(Q534&gt;0,S534*100/Q534,0)</f>
        <v>0</v>
      </c>
      <c r="U534" s="132">
        <f t="shared" ref="U534:U542" si="136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68">
        <f t="shared" ref="L535:N536" si="137">L538+L541</f>
        <v>0</v>
      </c>
      <c r="M535" s="49">
        <f t="shared" si="137"/>
        <v>0</v>
      </c>
      <c r="N535" s="49">
        <f t="shared" si="137"/>
        <v>0</v>
      </c>
      <c r="O535" s="49">
        <f t="shared" si="133"/>
        <v>0</v>
      </c>
      <c r="P535" s="49">
        <f t="shared" si="134"/>
        <v>0</v>
      </c>
      <c r="Q535" s="49">
        <f t="shared" ref="Q535:S536" si="138">Q538+Q541</f>
        <v>0</v>
      </c>
      <c r="R535" s="49">
        <f t="shared" si="138"/>
        <v>0</v>
      </c>
      <c r="S535" s="49">
        <f t="shared" si="138"/>
        <v>0</v>
      </c>
      <c r="T535" s="49">
        <f t="shared" si="135"/>
        <v>0</v>
      </c>
      <c r="U535" s="49">
        <f t="shared" si="136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67">
        <f t="shared" si="137"/>
        <v>0</v>
      </c>
      <c r="M536" s="47">
        <f t="shared" si="137"/>
        <v>0</v>
      </c>
      <c r="N536" s="47">
        <f t="shared" si="137"/>
        <v>0</v>
      </c>
      <c r="O536" s="47">
        <f t="shared" si="133"/>
        <v>0</v>
      </c>
      <c r="P536" s="47">
        <f t="shared" si="134"/>
        <v>0</v>
      </c>
      <c r="Q536" s="47">
        <f t="shared" si="138"/>
        <v>0</v>
      </c>
      <c r="R536" s="47">
        <f t="shared" si="138"/>
        <v>0</v>
      </c>
      <c r="S536" s="47">
        <f t="shared" si="138"/>
        <v>0</v>
      </c>
      <c r="T536" s="47">
        <f t="shared" si="135"/>
        <v>0</v>
      </c>
      <c r="U536" s="47">
        <f t="shared" si="136"/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67">
        <f>L538+L539</f>
        <v>0</v>
      </c>
      <c r="M537" s="47">
        <f>M538+M539</f>
        <v>0</v>
      </c>
      <c r="N537" s="47">
        <f>N538+N539</f>
        <v>0</v>
      </c>
      <c r="O537" s="47">
        <f t="shared" si="133"/>
        <v>0</v>
      </c>
      <c r="P537" s="47">
        <f t="shared" si="134"/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 t="shared" si="135"/>
        <v>0</v>
      </c>
      <c r="U537" s="47">
        <f t="shared" si="136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68">
        <v>0</v>
      </c>
      <c r="M538" s="49">
        <v>0</v>
      </c>
      <c r="N538" s="49">
        <v>0</v>
      </c>
      <c r="O538" s="49">
        <f t="shared" si="133"/>
        <v>0</v>
      </c>
      <c r="P538" s="49">
        <f t="shared" si="134"/>
        <v>0</v>
      </c>
      <c r="Q538" s="49">
        <v>0</v>
      </c>
      <c r="R538" s="49">
        <v>0</v>
      </c>
      <c r="S538" s="49">
        <v>0</v>
      </c>
      <c r="T538" s="49">
        <f t="shared" si="135"/>
        <v>0</v>
      </c>
      <c r="U538" s="49">
        <f t="shared" si="136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67">
        <v>0</v>
      </c>
      <c r="M539" s="47">
        <v>0</v>
      </c>
      <c r="N539" s="47">
        <v>0</v>
      </c>
      <c r="O539" s="47">
        <f t="shared" si="133"/>
        <v>0</v>
      </c>
      <c r="P539" s="47">
        <f t="shared" si="134"/>
        <v>0</v>
      </c>
      <c r="Q539" s="47">
        <v>0</v>
      </c>
      <c r="R539" s="47">
        <v>0</v>
      </c>
      <c r="S539" s="47">
        <v>0</v>
      </c>
      <c r="T539" s="47">
        <f t="shared" si="135"/>
        <v>0</v>
      </c>
      <c r="U539" s="47">
        <f t="shared" si="136"/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67">
        <f>L541+L542</f>
        <v>0</v>
      </c>
      <c r="M540" s="47">
        <f>M541+M542</f>
        <v>0</v>
      </c>
      <c r="N540" s="47">
        <f>N541+N542</f>
        <v>0</v>
      </c>
      <c r="O540" s="47">
        <f t="shared" si="133"/>
        <v>0</v>
      </c>
      <c r="P540" s="47">
        <f t="shared" si="134"/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 t="shared" si="135"/>
        <v>0</v>
      </c>
      <c r="U540" s="47">
        <f t="shared" si="136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68">
        <v>0</v>
      </c>
      <c r="M541" s="49">
        <v>0</v>
      </c>
      <c r="N541" s="49">
        <v>0</v>
      </c>
      <c r="O541" s="49">
        <f t="shared" si="133"/>
        <v>0</v>
      </c>
      <c r="P541" s="49">
        <f t="shared" si="134"/>
        <v>0</v>
      </c>
      <c r="Q541" s="49">
        <v>0</v>
      </c>
      <c r="R541" s="49">
        <v>0</v>
      </c>
      <c r="S541" s="49">
        <v>0</v>
      </c>
      <c r="T541" s="49">
        <f t="shared" si="135"/>
        <v>0</v>
      </c>
      <c r="U541" s="49">
        <f t="shared" si="136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67">
        <v>0</v>
      </c>
      <c r="M542" s="47">
        <v>0</v>
      </c>
      <c r="N542" s="47">
        <v>0</v>
      </c>
      <c r="O542" s="47">
        <f t="shared" si="133"/>
        <v>0</v>
      </c>
      <c r="P542" s="47">
        <f t="shared" si="134"/>
        <v>0</v>
      </c>
      <c r="Q542" s="47">
        <v>0</v>
      </c>
      <c r="R542" s="47">
        <v>0</v>
      </c>
      <c r="S542" s="47">
        <v>0</v>
      </c>
      <c r="T542" s="47">
        <f t="shared" si="135"/>
        <v>0</v>
      </c>
      <c r="U542" s="47">
        <f t="shared" si="136"/>
        <v>0</v>
      </c>
    </row>
    <row r="543" spans="1:21" ht="19.5" hidden="1" x14ac:dyDescent="0.3">
      <c r="A543" s="138"/>
      <c r="B543" s="139"/>
      <c r="C543" s="377" t="s">
        <v>18</v>
      </c>
      <c r="D543" s="492" t="s">
        <v>38</v>
      </c>
      <c r="E543" s="141"/>
      <c r="F543" s="141"/>
      <c r="G543" s="142"/>
      <c r="H543" s="143"/>
      <c r="I543" s="135"/>
      <c r="J543" s="45"/>
      <c r="K543" s="46"/>
      <c r="L543" s="465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03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03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03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03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03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03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03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03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03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72"/>
      <c r="B553" s="328"/>
      <c r="C553" s="328"/>
      <c r="D553" s="373"/>
      <c r="E553" s="373"/>
      <c r="F553" s="373"/>
      <c r="G553" s="374"/>
      <c r="H553" s="329"/>
      <c r="I553" s="330"/>
      <c r="J553" s="330"/>
      <c r="K553" s="331"/>
      <c r="L553" s="491"/>
      <c r="M553" s="331"/>
      <c r="N553" s="331"/>
      <c r="O553" s="331"/>
      <c r="P553" s="331"/>
      <c r="Q553" s="331"/>
      <c r="R553" s="331"/>
      <c r="S553" s="331"/>
      <c r="T553" s="331"/>
      <c r="U553" s="331"/>
    </row>
    <row r="554" spans="1:21" ht="19.5" hidden="1" x14ac:dyDescent="0.3">
      <c r="A554" s="361"/>
      <c r="B554" s="362" t="s">
        <v>211</v>
      </c>
      <c r="C554" s="363"/>
      <c r="D554" s="364"/>
      <c r="E554" s="364"/>
      <c r="F554" s="364"/>
      <c r="G554" s="365"/>
      <c r="H554" s="375" t="s">
        <v>61</v>
      </c>
      <c r="I554" s="505">
        <f>I566</f>
        <v>0</v>
      </c>
      <c r="J554" s="505">
        <f>J566</f>
        <v>0</v>
      </c>
      <c r="K554" s="368">
        <f>IF(I554&gt;0,J554*100/I554,0)</f>
        <v>0</v>
      </c>
      <c r="L554" s="504"/>
      <c r="M554" s="369"/>
      <c r="N554" s="369"/>
      <c r="O554" s="369"/>
      <c r="P554" s="369"/>
      <c r="Q554" s="369"/>
      <c r="R554" s="369"/>
      <c r="S554" s="369"/>
      <c r="T554" s="369"/>
      <c r="U554" s="369"/>
    </row>
    <row r="555" spans="1:21" ht="19.5" hidden="1" x14ac:dyDescent="0.3">
      <c r="A555" s="128"/>
      <c r="B555" s="41"/>
      <c r="C555" s="129" t="s">
        <v>18</v>
      </c>
      <c r="D555" s="47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469">
        <f>L556+L557</f>
        <v>0</v>
      </c>
      <c r="M555" s="132">
        <f>M556+M557</f>
        <v>0</v>
      </c>
      <c r="N555" s="132">
        <f>N556+N557</f>
        <v>0</v>
      </c>
      <c r="O555" s="132">
        <f t="shared" ref="O555:O563" si="139">IF(L555&gt;0,N555*100/L555,0)</f>
        <v>0</v>
      </c>
      <c r="P555" s="132">
        <f t="shared" ref="P555:P563" si="140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 t="shared" ref="T555:T563" si="141">IF(Q555&gt;0,S555*100/Q555,0)</f>
        <v>0</v>
      </c>
      <c r="U555" s="132">
        <f t="shared" ref="U555:U563" si="142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68">
        <f t="shared" ref="L556:N557" si="143">L559+L562</f>
        <v>0</v>
      </c>
      <c r="M556" s="49">
        <f t="shared" si="143"/>
        <v>0</v>
      </c>
      <c r="N556" s="49">
        <f t="shared" si="143"/>
        <v>0</v>
      </c>
      <c r="O556" s="49">
        <f t="shared" si="139"/>
        <v>0</v>
      </c>
      <c r="P556" s="49">
        <f t="shared" si="140"/>
        <v>0</v>
      </c>
      <c r="Q556" s="49">
        <f t="shared" ref="Q556:S557" si="144">Q559+Q562</f>
        <v>0</v>
      </c>
      <c r="R556" s="49">
        <f t="shared" si="144"/>
        <v>0</v>
      </c>
      <c r="S556" s="49">
        <f t="shared" si="144"/>
        <v>0</v>
      </c>
      <c r="T556" s="49">
        <f t="shared" si="141"/>
        <v>0</v>
      </c>
      <c r="U556" s="49">
        <f t="shared" si="142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67">
        <f t="shared" si="143"/>
        <v>0</v>
      </c>
      <c r="M557" s="47">
        <f t="shared" si="143"/>
        <v>0</v>
      </c>
      <c r="N557" s="47">
        <f t="shared" si="143"/>
        <v>0</v>
      </c>
      <c r="O557" s="47">
        <f t="shared" si="139"/>
        <v>0</v>
      </c>
      <c r="P557" s="47">
        <f t="shared" si="140"/>
        <v>0</v>
      </c>
      <c r="Q557" s="47">
        <f t="shared" si="144"/>
        <v>0</v>
      </c>
      <c r="R557" s="47">
        <f t="shared" si="144"/>
        <v>0</v>
      </c>
      <c r="S557" s="47">
        <f t="shared" si="144"/>
        <v>0</v>
      </c>
      <c r="T557" s="47">
        <f t="shared" si="141"/>
        <v>0</v>
      </c>
      <c r="U557" s="47">
        <f t="shared" si="142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67">
        <f>L559+L560</f>
        <v>0</v>
      </c>
      <c r="M558" s="47">
        <f>M559+M560</f>
        <v>0</v>
      </c>
      <c r="N558" s="47">
        <f>N559+N560</f>
        <v>0</v>
      </c>
      <c r="O558" s="47">
        <f t="shared" si="139"/>
        <v>0</v>
      </c>
      <c r="P558" s="47">
        <f t="shared" si="140"/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 t="shared" si="141"/>
        <v>0</v>
      </c>
      <c r="U558" s="47">
        <f t="shared" si="142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68">
        <v>0</v>
      </c>
      <c r="M559" s="49">
        <v>0</v>
      </c>
      <c r="N559" s="49">
        <v>0</v>
      </c>
      <c r="O559" s="49">
        <f t="shared" si="139"/>
        <v>0</v>
      </c>
      <c r="P559" s="49">
        <f t="shared" si="140"/>
        <v>0</v>
      </c>
      <c r="Q559" s="49">
        <v>0</v>
      </c>
      <c r="R559" s="49">
        <v>0</v>
      </c>
      <c r="S559" s="49">
        <v>0</v>
      </c>
      <c r="T559" s="49">
        <f t="shared" si="141"/>
        <v>0</v>
      </c>
      <c r="U559" s="49">
        <f t="shared" si="142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67">
        <v>0</v>
      </c>
      <c r="M560" s="47">
        <v>0</v>
      </c>
      <c r="N560" s="47">
        <v>0</v>
      </c>
      <c r="O560" s="47">
        <f t="shared" si="139"/>
        <v>0</v>
      </c>
      <c r="P560" s="47">
        <f t="shared" si="140"/>
        <v>0</v>
      </c>
      <c r="Q560" s="47">
        <v>0</v>
      </c>
      <c r="R560" s="47">
        <v>0</v>
      </c>
      <c r="S560" s="47">
        <v>0</v>
      </c>
      <c r="T560" s="47">
        <f t="shared" si="141"/>
        <v>0</v>
      </c>
      <c r="U560" s="47">
        <f t="shared" si="142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67">
        <f>L562+L563</f>
        <v>0</v>
      </c>
      <c r="M561" s="47">
        <f>M562+M563</f>
        <v>0</v>
      </c>
      <c r="N561" s="47">
        <f>N562+N563</f>
        <v>0</v>
      </c>
      <c r="O561" s="47">
        <f t="shared" si="139"/>
        <v>0</v>
      </c>
      <c r="P561" s="47">
        <f t="shared" si="140"/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 t="shared" si="141"/>
        <v>0</v>
      </c>
      <c r="U561" s="47">
        <f t="shared" si="142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68">
        <v>0</v>
      </c>
      <c r="M562" s="49">
        <v>0</v>
      </c>
      <c r="N562" s="49">
        <v>0</v>
      </c>
      <c r="O562" s="49">
        <f t="shared" si="139"/>
        <v>0</v>
      </c>
      <c r="P562" s="49">
        <f t="shared" si="140"/>
        <v>0</v>
      </c>
      <c r="Q562" s="49">
        <v>0</v>
      </c>
      <c r="R562" s="49">
        <v>0</v>
      </c>
      <c r="S562" s="49">
        <v>0</v>
      </c>
      <c r="T562" s="49">
        <f t="shared" si="141"/>
        <v>0</v>
      </c>
      <c r="U562" s="49">
        <f t="shared" si="142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67">
        <v>0</v>
      </c>
      <c r="M563" s="47">
        <v>0</v>
      </c>
      <c r="N563" s="47">
        <v>0</v>
      </c>
      <c r="O563" s="47">
        <f t="shared" si="139"/>
        <v>0</v>
      </c>
      <c r="P563" s="47">
        <f t="shared" si="140"/>
        <v>0</v>
      </c>
      <c r="Q563" s="47">
        <v>0</v>
      </c>
      <c r="R563" s="47">
        <v>0</v>
      </c>
      <c r="S563" s="47">
        <v>0</v>
      </c>
      <c r="T563" s="47">
        <f t="shared" si="141"/>
        <v>0</v>
      </c>
      <c r="U563" s="47">
        <f t="shared" si="142"/>
        <v>0</v>
      </c>
    </row>
    <row r="564" spans="1:21" ht="19.5" hidden="1" x14ac:dyDescent="0.3">
      <c r="A564" s="138"/>
      <c r="B564" s="139"/>
      <c r="C564" s="377" t="s">
        <v>18</v>
      </c>
      <c r="D564" s="492" t="s">
        <v>38</v>
      </c>
      <c r="E564" s="141"/>
      <c r="F564" s="141"/>
      <c r="G564" s="142"/>
      <c r="H564" s="143"/>
      <c r="I564" s="135"/>
      <c r="J564" s="45"/>
      <c r="K564" s="46"/>
      <c r="L564" s="465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03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03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03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03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03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03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03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03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03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72"/>
      <c r="B574" s="328"/>
      <c r="C574" s="328"/>
      <c r="D574" s="373"/>
      <c r="E574" s="373"/>
      <c r="F574" s="373"/>
      <c r="G574" s="374"/>
      <c r="H574" s="329"/>
      <c r="I574" s="330"/>
      <c r="J574" s="330"/>
      <c r="K574" s="331"/>
      <c r="L574" s="491"/>
      <c r="M574" s="331"/>
      <c r="N574" s="331"/>
      <c r="O574" s="331"/>
      <c r="P574" s="331"/>
      <c r="Q574" s="331"/>
      <c r="R574" s="331"/>
      <c r="S574" s="331"/>
      <c r="T574" s="331"/>
      <c r="U574" s="331"/>
    </row>
    <row r="575" spans="1:21" ht="19.5" hidden="1" x14ac:dyDescent="0.3">
      <c r="A575" s="361"/>
      <c r="B575" s="362" t="s">
        <v>212</v>
      </c>
      <c r="C575" s="363"/>
      <c r="D575" s="364"/>
      <c r="E575" s="364"/>
      <c r="F575" s="364"/>
      <c r="G575" s="365"/>
      <c r="H575" s="375" t="s">
        <v>61</v>
      </c>
      <c r="I575" s="505">
        <f>I587</f>
        <v>0</v>
      </c>
      <c r="J575" s="505">
        <f>J587</f>
        <v>0</v>
      </c>
      <c r="K575" s="368">
        <f>IF(I575&gt;0,J575*100/I575,0)</f>
        <v>0</v>
      </c>
      <c r="L575" s="504"/>
      <c r="M575" s="369"/>
      <c r="N575" s="369"/>
      <c r="O575" s="369"/>
      <c r="P575" s="369"/>
      <c r="Q575" s="369"/>
      <c r="R575" s="369"/>
      <c r="S575" s="369"/>
      <c r="T575" s="369"/>
      <c r="U575" s="369"/>
    </row>
    <row r="576" spans="1:21" ht="19.5" hidden="1" x14ac:dyDescent="0.3">
      <c r="A576" s="128"/>
      <c r="B576" s="41"/>
      <c r="C576" s="129" t="s">
        <v>18</v>
      </c>
      <c r="D576" s="47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469">
        <f>L577+L578</f>
        <v>0</v>
      </c>
      <c r="M576" s="132">
        <f>M577+M578</f>
        <v>0</v>
      </c>
      <c r="N576" s="132">
        <f>N577+N578</f>
        <v>0</v>
      </c>
      <c r="O576" s="132">
        <f t="shared" ref="O576:O584" si="145">IF(L576&gt;0,N576*100/L576,0)</f>
        <v>0</v>
      </c>
      <c r="P576" s="132">
        <f t="shared" ref="P576:P584" si="146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 t="shared" ref="T576:T584" si="147">IF(Q576&gt;0,S576*100/Q576,0)</f>
        <v>0</v>
      </c>
      <c r="U576" s="132">
        <f t="shared" ref="U576:U584" si="148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68">
        <f t="shared" ref="L577:N578" si="149">L580+L583</f>
        <v>0</v>
      </c>
      <c r="M577" s="49">
        <f t="shared" si="149"/>
        <v>0</v>
      </c>
      <c r="N577" s="49">
        <f t="shared" si="149"/>
        <v>0</v>
      </c>
      <c r="O577" s="49">
        <f t="shared" si="145"/>
        <v>0</v>
      </c>
      <c r="P577" s="49">
        <f t="shared" si="146"/>
        <v>0</v>
      </c>
      <c r="Q577" s="49">
        <f t="shared" ref="Q577:S578" si="150">Q580+Q583</f>
        <v>0</v>
      </c>
      <c r="R577" s="49">
        <f t="shared" si="150"/>
        <v>0</v>
      </c>
      <c r="S577" s="49">
        <f t="shared" si="150"/>
        <v>0</v>
      </c>
      <c r="T577" s="49">
        <f t="shared" si="147"/>
        <v>0</v>
      </c>
      <c r="U577" s="49">
        <f t="shared" si="148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67">
        <f t="shared" si="149"/>
        <v>0</v>
      </c>
      <c r="M578" s="47">
        <f t="shared" si="149"/>
        <v>0</v>
      </c>
      <c r="N578" s="47">
        <f t="shared" si="149"/>
        <v>0</v>
      </c>
      <c r="O578" s="47">
        <f t="shared" si="145"/>
        <v>0</v>
      </c>
      <c r="P578" s="47">
        <f t="shared" si="146"/>
        <v>0</v>
      </c>
      <c r="Q578" s="47">
        <f t="shared" si="150"/>
        <v>0</v>
      </c>
      <c r="R578" s="47">
        <f t="shared" si="150"/>
        <v>0</v>
      </c>
      <c r="S578" s="47">
        <f t="shared" si="150"/>
        <v>0</v>
      </c>
      <c r="T578" s="47">
        <f t="shared" si="147"/>
        <v>0</v>
      </c>
      <c r="U578" s="47">
        <f t="shared" si="148"/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67">
        <f>L580+L581</f>
        <v>0</v>
      </c>
      <c r="M579" s="47">
        <f>M580+M581</f>
        <v>0</v>
      </c>
      <c r="N579" s="47">
        <f>N580+N581</f>
        <v>0</v>
      </c>
      <c r="O579" s="47">
        <f t="shared" si="145"/>
        <v>0</v>
      </c>
      <c r="P579" s="47">
        <f t="shared" si="146"/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 t="shared" si="147"/>
        <v>0</v>
      </c>
      <c r="U579" s="47">
        <f t="shared" si="148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68">
        <v>0</v>
      </c>
      <c r="M580" s="49">
        <v>0</v>
      </c>
      <c r="N580" s="49">
        <v>0</v>
      </c>
      <c r="O580" s="49">
        <f t="shared" si="145"/>
        <v>0</v>
      </c>
      <c r="P580" s="49">
        <f t="shared" si="146"/>
        <v>0</v>
      </c>
      <c r="Q580" s="49">
        <v>0</v>
      </c>
      <c r="R580" s="49">
        <v>0</v>
      </c>
      <c r="S580" s="49">
        <v>0</v>
      </c>
      <c r="T580" s="49">
        <f t="shared" si="147"/>
        <v>0</v>
      </c>
      <c r="U580" s="49">
        <f t="shared" si="148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67">
        <v>0</v>
      </c>
      <c r="M581" s="47">
        <v>0</v>
      </c>
      <c r="N581" s="47">
        <v>0</v>
      </c>
      <c r="O581" s="47">
        <f t="shared" si="145"/>
        <v>0</v>
      </c>
      <c r="P581" s="47">
        <f t="shared" si="146"/>
        <v>0</v>
      </c>
      <c r="Q581" s="47">
        <v>0</v>
      </c>
      <c r="R581" s="47">
        <v>0</v>
      </c>
      <c r="S581" s="47">
        <v>0</v>
      </c>
      <c r="T581" s="47">
        <f t="shared" si="147"/>
        <v>0</v>
      </c>
      <c r="U581" s="47">
        <f t="shared" si="148"/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67">
        <f>L583+L584</f>
        <v>0</v>
      </c>
      <c r="M582" s="47">
        <f>M583+M584</f>
        <v>0</v>
      </c>
      <c r="N582" s="47">
        <f>N583+N584</f>
        <v>0</v>
      </c>
      <c r="O582" s="47">
        <f t="shared" si="145"/>
        <v>0</v>
      </c>
      <c r="P582" s="47">
        <f t="shared" si="146"/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 t="shared" si="147"/>
        <v>0</v>
      </c>
      <c r="U582" s="47">
        <f t="shared" si="148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68">
        <v>0</v>
      </c>
      <c r="M583" s="49">
        <v>0</v>
      </c>
      <c r="N583" s="49">
        <v>0</v>
      </c>
      <c r="O583" s="49">
        <f t="shared" si="145"/>
        <v>0</v>
      </c>
      <c r="P583" s="49">
        <f t="shared" si="146"/>
        <v>0</v>
      </c>
      <c r="Q583" s="49">
        <v>0</v>
      </c>
      <c r="R583" s="49">
        <v>0</v>
      </c>
      <c r="S583" s="49">
        <v>0</v>
      </c>
      <c r="T583" s="49">
        <f t="shared" si="147"/>
        <v>0</v>
      </c>
      <c r="U583" s="49">
        <f t="shared" si="148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67">
        <v>0</v>
      </c>
      <c r="M584" s="47">
        <v>0</v>
      </c>
      <c r="N584" s="47">
        <v>0</v>
      </c>
      <c r="O584" s="47">
        <f t="shared" si="145"/>
        <v>0</v>
      </c>
      <c r="P584" s="47">
        <f t="shared" si="146"/>
        <v>0</v>
      </c>
      <c r="Q584" s="47">
        <v>0</v>
      </c>
      <c r="R584" s="47">
        <v>0</v>
      </c>
      <c r="S584" s="47">
        <v>0</v>
      </c>
      <c r="T584" s="47">
        <f t="shared" si="147"/>
        <v>0</v>
      </c>
      <c r="U584" s="47">
        <f t="shared" si="148"/>
        <v>0</v>
      </c>
    </row>
    <row r="585" spans="1:21" ht="19.5" hidden="1" x14ac:dyDescent="0.3">
      <c r="A585" s="138"/>
      <c r="B585" s="139"/>
      <c r="C585" s="377" t="s">
        <v>18</v>
      </c>
      <c r="D585" s="492" t="s">
        <v>38</v>
      </c>
      <c r="E585" s="141"/>
      <c r="F585" s="141"/>
      <c r="G585" s="142"/>
      <c r="H585" s="143"/>
      <c r="I585" s="135"/>
      <c r="J585" s="45"/>
      <c r="K585" s="46"/>
      <c r="L585" s="465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03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03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03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03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03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03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03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03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03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72"/>
      <c r="B595" s="328"/>
      <c r="C595" s="328"/>
      <c r="D595" s="373"/>
      <c r="E595" s="373"/>
      <c r="F595" s="373"/>
      <c r="G595" s="374"/>
      <c r="H595" s="329"/>
      <c r="I595" s="330"/>
      <c r="J595" s="330"/>
      <c r="K595" s="331"/>
      <c r="L595" s="491"/>
      <c r="M595" s="331"/>
      <c r="N595" s="331"/>
      <c r="O595" s="331"/>
      <c r="P595" s="331"/>
      <c r="Q595" s="331"/>
      <c r="R595" s="331"/>
      <c r="S595" s="331"/>
      <c r="T595" s="331"/>
      <c r="U595" s="331"/>
    </row>
    <row r="596" spans="1:21" ht="19.5" hidden="1" x14ac:dyDescent="0.3">
      <c r="A596" s="378" t="s">
        <v>213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379" t="s">
        <v>214</v>
      </c>
      <c r="C597" s="183"/>
      <c r="D597" s="125"/>
      <c r="E597" s="28"/>
      <c r="F597" s="28"/>
      <c r="G597" s="28"/>
      <c r="H597" s="380" t="s">
        <v>99</v>
      </c>
      <c r="I597" s="193"/>
      <c r="J597" s="33"/>
      <c r="K597" s="34"/>
      <c r="L597" s="502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381"/>
      <c r="B598" s="382" t="s">
        <v>215</v>
      </c>
      <c r="C598" s="125"/>
      <c r="D598" s="28"/>
      <c r="E598" s="28"/>
      <c r="F598" s="28"/>
      <c r="G598" s="31"/>
      <c r="H598" s="383" t="s">
        <v>35</v>
      </c>
      <c r="I598" s="33"/>
      <c r="J598" s="33"/>
      <c r="K598" s="34"/>
      <c r="L598" s="502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788" t="s">
        <v>19</v>
      </c>
      <c r="E599" s="771"/>
      <c r="F599" s="771"/>
      <c r="G599" s="772"/>
      <c r="H599" s="384" t="s">
        <v>14</v>
      </c>
      <c r="I599" s="45"/>
      <c r="J599" s="45"/>
      <c r="K599" s="46"/>
      <c r="L599" s="469">
        <f>L600+L601</f>
        <v>0</v>
      </c>
      <c r="M599" s="132">
        <f>M600+M601</f>
        <v>0</v>
      </c>
      <c r="N599" s="132">
        <f>N600+N601</f>
        <v>0</v>
      </c>
      <c r="O599" s="132">
        <f t="shared" ref="O599:O607" si="151">IF(L599&gt;0,N599*100/L599,0)</f>
        <v>0</v>
      </c>
      <c r="P599" s="132">
        <f t="shared" ref="P599:P607" si="152">IF(M599&gt;0,N599*100/M599,0)</f>
        <v>0</v>
      </c>
      <c r="Q599" s="132">
        <f>Q600+Q601</f>
        <v>0</v>
      </c>
      <c r="R599" s="132">
        <f>R600+R601</f>
        <v>0</v>
      </c>
      <c r="S599" s="132">
        <f>S600+S601</f>
        <v>0</v>
      </c>
      <c r="T599" s="132">
        <f t="shared" ref="T599:T607" si="153">IF(Q599&gt;0,S599*100/Q599,0)</f>
        <v>0</v>
      </c>
      <c r="U599" s="132">
        <f t="shared" ref="U599:U607" si="154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468">
        <f t="shared" ref="L600:N601" si="155">L603+L606</f>
        <v>0</v>
      </c>
      <c r="M600" s="49">
        <f t="shared" si="155"/>
        <v>0</v>
      </c>
      <c r="N600" s="49">
        <f t="shared" si="155"/>
        <v>0</v>
      </c>
      <c r="O600" s="49">
        <f t="shared" si="151"/>
        <v>0</v>
      </c>
      <c r="P600" s="49">
        <f t="shared" si="152"/>
        <v>0</v>
      </c>
      <c r="Q600" s="49">
        <f t="shared" ref="Q600:S601" si="156">Q603+Q606</f>
        <v>0</v>
      </c>
      <c r="R600" s="49">
        <f t="shared" si="156"/>
        <v>0</v>
      </c>
      <c r="S600" s="49">
        <f t="shared" si="156"/>
        <v>0</v>
      </c>
      <c r="T600" s="49">
        <f t="shared" si="153"/>
        <v>0</v>
      </c>
      <c r="U600" s="49">
        <f t="shared" si="154"/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467">
        <f t="shared" si="155"/>
        <v>0</v>
      </c>
      <c r="M601" s="47">
        <f t="shared" si="155"/>
        <v>0</v>
      </c>
      <c r="N601" s="47">
        <f t="shared" si="155"/>
        <v>0</v>
      </c>
      <c r="O601" s="47">
        <f t="shared" si="151"/>
        <v>0</v>
      </c>
      <c r="P601" s="47">
        <f t="shared" si="152"/>
        <v>0</v>
      </c>
      <c r="Q601" s="47">
        <f t="shared" si="156"/>
        <v>0</v>
      </c>
      <c r="R601" s="47">
        <f t="shared" si="156"/>
        <v>0</v>
      </c>
      <c r="S601" s="47">
        <f t="shared" si="156"/>
        <v>0</v>
      </c>
      <c r="T601" s="47">
        <f t="shared" si="153"/>
        <v>0</v>
      </c>
      <c r="U601" s="47">
        <f t="shared" si="154"/>
        <v>0</v>
      </c>
    </row>
    <row r="602" spans="1:21" ht="19.5" hidden="1" x14ac:dyDescent="0.3">
      <c r="A602" s="128"/>
      <c r="B602" s="159"/>
      <c r="C602" s="159"/>
      <c r="D602" s="490" t="s">
        <v>22</v>
      </c>
      <c r="E602" s="41"/>
      <c r="F602" s="41"/>
      <c r="G602" s="43"/>
      <c r="H602" s="384" t="s">
        <v>14</v>
      </c>
      <c r="I602" s="135"/>
      <c r="J602" s="135"/>
      <c r="K602" s="136"/>
      <c r="L602" s="467">
        <f>L603+L604</f>
        <v>0</v>
      </c>
      <c r="M602" s="47">
        <f>M603+M604</f>
        <v>0</v>
      </c>
      <c r="N602" s="47">
        <f>N603+N604</f>
        <v>0</v>
      </c>
      <c r="O602" s="47">
        <f t="shared" si="151"/>
        <v>0</v>
      </c>
      <c r="P602" s="47">
        <f t="shared" si="152"/>
        <v>0</v>
      </c>
      <c r="Q602" s="47">
        <f>Q603+Q604</f>
        <v>0</v>
      </c>
      <c r="R602" s="47">
        <f>R603+R604</f>
        <v>0</v>
      </c>
      <c r="S602" s="47">
        <f>S603+S604</f>
        <v>0</v>
      </c>
      <c r="T602" s="47">
        <f t="shared" si="153"/>
        <v>0</v>
      </c>
      <c r="U602" s="47">
        <f t="shared" si="154"/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468">
        <v>0</v>
      </c>
      <c r="M603" s="49">
        <v>0</v>
      </c>
      <c r="N603" s="49">
        <v>0</v>
      </c>
      <c r="O603" s="49">
        <f t="shared" si="151"/>
        <v>0</v>
      </c>
      <c r="P603" s="49">
        <f t="shared" si="152"/>
        <v>0</v>
      </c>
      <c r="Q603" s="49">
        <v>0</v>
      </c>
      <c r="R603" s="49">
        <v>0</v>
      </c>
      <c r="S603" s="49">
        <v>0</v>
      </c>
      <c r="T603" s="49">
        <f t="shared" si="153"/>
        <v>0</v>
      </c>
      <c r="U603" s="49">
        <f t="shared" si="154"/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467">
        <v>0</v>
      </c>
      <c r="M604" s="47">
        <v>0</v>
      </c>
      <c r="N604" s="47">
        <v>0</v>
      </c>
      <c r="O604" s="47">
        <f t="shared" si="151"/>
        <v>0</v>
      </c>
      <c r="P604" s="47">
        <f t="shared" si="152"/>
        <v>0</v>
      </c>
      <c r="Q604" s="47">
        <v>0</v>
      </c>
      <c r="R604" s="47">
        <v>0</v>
      </c>
      <c r="S604" s="47">
        <v>0</v>
      </c>
      <c r="T604" s="47">
        <f t="shared" si="153"/>
        <v>0</v>
      </c>
      <c r="U604" s="47">
        <f t="shared" si="154"/>
        <v>0</v>
      </c>
    </row>
    <row r="605" spans="1:21" ht="19.5" hidden="1" x14ac:dyDescent="0.3">
      <c r="A605" s="128"/>
      <c r="B605" s="159"/>
      <c r="C605" s="159"/>
      <c r="D605" s="490" t="s">
        <v>23</v>
      </c>
      <c r="E605" s="159"/>
      <c r="F605" s="41"/>
      <c r="G605" s="43"/>
      <c r="H605" s="386" t="s">
        <v>14</v>
      </c>
      <c r="I605" s="135"/>
      <c r="J605" s="135"/>
      <c r="K605" s="136"/>
      <c r="L605" s="467">
        <f>L606+L607</f>
        <v>0</v>
      </c>
      <c r="M605" s="47">
        <f>M606+M607</f>
        <v>0</v>
      </c>
      <c r="N605" s="47">
        <f>N606+N607</f>
        <v>0</v>
      </c>
      <c r="O605" s="47">
        <f t="shared" si="151"/>
        <v>0</v>
      </c>
      <c r="P605" s="47">
        <f t="shared" si="152"/>
        <v>0</v>
      </c>
      <c r="Q605" s="47">
        <f>Q606+Q607</f>
        <v>0</v>
      </c>
      <c r="R605" s="47">
        <f>R606+R607</f>
        <v>0</v>
      </c>
      <c r="S605" s="47">
        <f>S606+S607</f>
        <v>0</v>
      </c>
      <c r="T605" s="47">
        <f t="shared" si="153"/>
        <v>0</v>
      </c>
      <c r="U605" s="47">
        <f t="shared" si="154"/>
        <v>0</v>
      </c>
    </row>
    <row r="606" spans="1:21" ht="18.75" hidden="1" x14ac:dyDescent="0.25">
      <c r="A606" s="128"/>
      <c r="B606" s="159"/>
      <c r="C606" s="159"/>
      <c r="D606" s="159"/>
      <c r="E606" s="326" t="s">
        <v>20</v>
      </c>
      <c r="F606" s="41"/>
      <c r="G606" s="43"/>
      <c r="H606" s="160" t="s">
        <v>14</v>
      </c>
      <c r="I606" s="135"/>
      <c r="J606" s="135"/>
      <c r="K606" s="136"/>
      <c r="L606" s="468">
        <v>0</v>
      </c>
      <c r="M606" s="49">
        <v>0</v>
      </c>
      <c r="N606" s="49">
        <v>0</v>
      </c>
      <c r="O606" s="49">
        <f t="shared" si="151"/>
        <v>0</v>
      </c>
      <c r="P606" s="49">
        <f t="shared" si="152"/>
        <v>0</v>
      </c>
      <c r="Q606" s="49">
        <v>0</v>
      </c>
      <c r="R606" s="49">
        <v>0</v>
      </c>
      <c r="S606" s="49">
        <v>0</v>
      </c>
      <c r="T606" s="49">
        <f t="shared" si="153"/>
        <v>0</v>
      </c>
      <c r="U606" s="49">
        <f t="shared" si="154"/>
        <v>0</v>
      </c>
    </row>
    <row r="607" spans="1:21" ht="18.75" hidden="1" x14ac:dyDescent="0.25">
      <c r="A607" s="128"/>
      <c r="B607" s="159"/>
      <c r="C607" s="159"/>
      <c r="D607" s="41"/>
      <c r="E607" s="326" t="s">
        <v>21</v>
      </c>
      <c r="F607" s="41"/>
      <c r="G607" s="43"/>
      <c r="H607" s="387" t="s">
        <v>14</v>
      </c>
      <c r="I607" s="135"/>
      <c r="J607" s="135"/>
      <c r="K607" s="136"/>
      <c r="L607" s="467">
        <v>0</v>
      </c>
      <c r="M607" s="47">
        <v>0</v>
      </c>
      <c r="N607" s="47">
        <v>0</v>
      </c>
      <c r="O607" s="47">
        <f t="shared" si="151"/>
        <v>0</v>
      </c>
      <c r="P607" s="47">
        <f t="shared" si="152"/>
        <v>0</v>
      </c>
      <c r="Q607" s="47">
        <v>0</v>
      </c>
      <c r="R607" s="47">
        <v>0</v>
      </c>
      <c r="S607" s="47">
        <v>0</v>
      </c>
      <c r="T607" s="47">
        <f t="shared" si="153"/>
        <v>0</v>
      </c>
      <c r="U607" s="47">
        <f t="shared" si="154"/>
        <v>0</v>
      </c>
    </row>
    <row r="608" spans="1:21" ht="19.5" hidden="1" x14ac:dyDescent="0.3">
      <c r="A608" s="138"/>
      <c r="B608" s="139"/>
      <c r="C608" s="188" t="s">
        <v>18</v>
      </c>
      <c r="D608" s="501" t="s">
        <v>38</v>
      </c>
      <c r="E608" s="141"/>
      <c r="F608" s="141"/>
      <c r="G608" s="142"/>
      <c r="H608" s="189"/>
      <c r="I608" s="135"/>
      <c r="J608" s="135"/>
      <c r="K608" s="136"/>
      <c r="L608" s="465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389" t="s">
        <v>216</v>
      </c>
      <c r="E609" s="145"/>
      <c r="F609" s="145"/>
      <c r="G609" s="143"/>
      <c r="H609" s="160" t="s">
        <v>99</v>
      </c>
      <c r="I609" s="45"/>
      <c r="J609" s="45"/>
      <c r="K609" s="136"/>
      <c r="L609" s="465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389" t="s">
        <v>217</v>
      </c>
      <c r="E610" s="145"/>
      <c r="F610" s="145"/>
      <c r="G610" s="143"/>
      <c r="H610" s="384" t="s">
        <v>35</v>
      </c>
      <c r="I610" s="45"/>
      <c r="J610" s="45"/>
      <c r="K610" s="136"/>
      <c r="L610" s="465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389" t="s">
        <v>218</v>
      </c>
      <c r="F611" s="145"/>
      <c r="G611" s="143"/>
      <c r="H611" s="387" t="s">
        <v>35</v>
      </c>
      <c r="I611" s="45"/>
      <c r="J611" s="45"/>
      <c r="K611" s="136"/>
      <c r="L611" s="465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390"/>
      <c r="B612" s="391"/>
      <c r="C612" s="391"/>
      <c r="D612" s="391"/>
      <c r="E612" s="392" t="s">
        <v>219</v>
      </c>
      <c r="F612" s="393"/>
      <c r="G612" s="394"/>
      <c r="H612" s="395" t="s">
        <v>35</v>
      </c>
      <c r="I612" s="396"/>
      <c r="J612" s="396"/>
      <c r="K612" s="397"/>
      <c r="L612" s="500"/>
      <c r="M612" s="398"/>
      <c r="N612" s="398"/>
      <c r="O612" s="398"/>
      <c r="P612" s="398"/>
      <c r="Q612" s="398"/>
      <c r="R612" s="398"/>
      <c r="S612" s="398"/>
      <c r="T612" s="398"/>
      <c r="U612" s="398"/>
    </row>
    <row r="613" spans="1:21" ht="19.5" x14ac:dyDescent="0.3">
      <c r="A613" s="399" t="s">
        <v>220</v>
      </c>
      <c r="B613" s="400"/>
      <c r="C613" s="400"/>
      <c r="D613" s="401"/>
      <c r="E613" s="401"/>
      <c r="F613" s="401"/>
      <c r="G613" s="402"/>
      <c r="H613" s="403"/>
      <c r="I613" s="404"/>
      <c r="J613" s="404"/>
      <c r="K613" s="405"/>
      <c r="L613" s="499"/>
      <c r="M613" s="405"/>
      <c r="N613" s="405"/>
      <c r="O613" s="405"/>
      <c r="P613" s="405"/>
      <c r="Q613" s="405"/>
      <c r="R613" s="405"/>
      <c r="S613" s="405"/>
      <c r="T613" s="405"/>
      <c r="U613" s="405"/>
    </row>
    <row r="614" spans="1:21" ht="19.5" x14ac:dyDescent="0.3">
      <c r="A614" s="406"/>
      <c r="B614" s="407" t="s">
        <v>221</v>
      </c>
      <c r="C614" s="406"/>
      <c r="D614" s="408"/>
      <c r="E614" s="408"/>
      <c r="F614" s="408"/>
      <c r="G614" s="409"/>
      <c r="H614" s="410"/>
      <c r="I614" s="411"/>
      <c r="J614" s="411"/>
      <c r="K614" s="412"/>
      <c r="L614" s="471"/>
      <c r="M614" s="412"/>
      <c r="N614" s="412"/>
      <c r="O614" s="412"/>
      <c r="P614" s="412"/>
      <c r="Q614" s="412"/>
      <c r="R614" s="412"/>
      <c r="S614" s="412"/>
      <c r="T614" s="412"/>
      <c r="U614" s="412"/>
    </row>
    <row r="615" spans="1:21" ht="19.5" x14ac:dyDescent="0.3">
      <c r="A615" s="413"/>
      <c r="B615" s="414" t="s">
        <v>222</v>
      </c>
      <c r="C615" s="413"/>
      <c r="D615" s="415"/>
      <c r="E615" s="415"/>
      <c r="F615" s="415"/>
      <c r="G615" s="416"/>
      <c r="H615" s="417" t="s">
        <v>46</v>
      </c>
      <c r="I615" s="418">
        <f ca="1">I626</f>
        <v>50</v>
      </c>
      <c r="J615" s="418">
        <f>J626</f>
        <v>0</v>
      </c>
      <c r="K615" s="419">
        <f ca="1">IF(I615&gt;0,J615*100/I615,0)</f>
        <v>0</v>
      </c>
      <c r="L615" s="498"/>
      <c r="M615" s="420"/>
      <c r="N615" s="420"/>
      <c r="O615" s="420"/>
      <c r="P615" s="420"/>
      <c r="Q615" s="420"/>
      <c r="R615" s="420"/>
      <c r="S615" s="420"/>
      <c r="T615" s="420"/>
      <c r="U615" s="420"/>
    </row>
    <row r="616" spans="1:21" ht="19.5" x14ac:dyDescent="0.3">
      <c r="A616" s="128"/>
      <c r="B616" s="159"/>
      <c r="C616" s="188" t="s">
        <v>18</v>
      </c>
      <c r="D616" s="789" t="s">
        <v>19</v>
      </c>
      <c r="E616" s="771"/>
      <c r="F616" s="771"/>
      <c r="G616" s="772"/>
      <c r="H616" s="232" t="s">
        <v>14</v>
      </c>
      <c r="I616" s="45"/>
      <c r="J616" s="45"/>
      <c r="K616" s="46"/>
      <c r="L616" s="469">
        <f>L617+L618</f>
        <v>0</v>
      </c>
      <c r="M616" s="132">
        <f>M617+M618</f>
        <v>0</v>
      </c>
      <c r="N616" s="132">
        <f>N617+N618</f>
        <v>0</v>
      </c>
      <c r="O616" s="132">
        <f t="shared" ref="O616:O624" si="157">IF(L616&gt;0,N616*100/L616,0)</f>
        <v>0</v>
      </c>
      <c r="P616" s="132">
        <f t="shared" ref="P616:P624" si="158"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t="shared" ref="T616:T624" ca="1" si="159">IF(Q616&gt;0,S616*100/Q616,0)</f>
        <v>0</v>
      </c>
      <c r="U616" s="132">
        <f t="shared" ref="U616:U624" ca="1" si="160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68">
        <f t="shared" ref="L617:N618" si="161">L620+L623</f>
        <v>0</v>
      </c>
      <c r="M617" s="49">
        <f t="shared" si="161"/>
        <v>0</v>
      </c>
      <c r="N617" s="49">
        <f t="shared" si="161"/>
        <v>0</v>
      </c>
      <c r="O617" s="49">
        <f t="shared" si="157"/>
        <v>0</v>
      </c>
      <c r="P617" s="49">
        <f t="shared" si="158"/>
        <v>0</v>
      </c>
      <c r="Q617" s="49">
        <f t="shared" ref="Q617:S618" si="162">Q620+Q623</f>
        <v>0</v>
      </c>
      <c r="R617" s="49">
        <f t="shared" si="162"/>
        <v>0</v>
      </c>
      <c r="S617" s="49">
        <f t="shared" si="162"/>
        <v>0</v>
      </c>
      <c r="T617" s="49">
        <f t="shared" si="159"/>
        <v>0</v>
      </c>
      <c r="U617" s="49">
        <f t="shared" si="160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67">
        <f t="shared" si="161"/>
        <v>0</v>
      </c>
      <c r="M618" s="47">
        <f t="shared" si="161"/>
        <v>0</v>
      </c>
      <c r="N618" s="47">
        <f t="shared" si="161"/>
        <v>0</v>
      </c>
      <c r="O618" s="47">
        <f t="shared" si="157"/>
        <v>0</v>
      </c>
      <c r="P618" s="47">
        <f t="shared" si="158"/>
        <v>0</v>
      </c>
      <c r="Q618" s="47">
        <f t="shared" ca="1" si="162"/>
        <v>6775</v>
      </c>
      <c r="R618" s="47">
        <f t="shared" ca="1" si="162"/>
        <v>6775</v>
      </c>
      <c r="S618" s="47">
        <f t="shared" ca="1" si="162"/>
        <v>0</v>
      </c>
      <c r="T618" s="47">
        <f t="shared" ca="1" si="159"/>
        <v>0</v>
      </c>
      <c r="U618" s="47">
        <f t="shared" ca="1" si="160"/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67">
        <f>L620+L621</f>
        <v>0</v>
      </c>
      <c r="M619" s="47">
        <f>M620+M621</f>
        <v>0</v>
      </c>
      <c r="N619" s="47">
        <f>N620+N621</f>
        <v>0</v>
      </c>
      <c r="O619" s="47">
        <f t="shared" si="157"/>
        <v>0</v>
      </c>
      <c r="P619" s="47">
        <f t="shared" si="158"/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t="shared" ca="1" si="159"/>
        <v>0</v>
      </c>
      <c r="U619" s="47">
        <f t="shared" ca="1" si="160"/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68">
        <v>0</v>
      </c>
      <c r="M620" s="49">
        <v>0</v>
      </c>
      <c r="N620" s="49">
        <v>0</v>
      </c>
      <c r="O620" s="49">
        <f t="shared" si="157"/>
        <v>0</v>
      </c>
      <c r="P620" s="49">
        <f t="shared" si="158"/>
        <v>0</v>
      </c>
      <c r="Q620" s="49">
        <v>0</v>
      </c>
      <c r="R620" s="49">
        <v>0</v>
      </c>
      <c r="S620" s="49">
        <v>0</v>
      </c>
      <c r="T620" s="49">
        <f t="shared" si="159"/>
        <v>0</v>
      </c>
      <c r="U620" s="49">
        <f t="shared" si="160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67">
        <v>0</v>
      </c>
      <c r="M621" s="47">
        <v>0</v>
      </c>
      <c r="N621" s="47">
        <v>0</v>
      </c>
      <c r="O621" s="47">
        <f t="shared" si="157"/>
        <v>0</v>
      </c>
      <c r="P621" s="47">
        <f t="shared" si="158"/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t="shared" ca="1" si="159"/>
        <v>0</v>
      </c>
      <c r="U621" s="47">
        <f t="shared" ca="1" si="160"/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67">
        <f>L623+L624</f>
        <v>0</v>
      </c>
      <c r="M622" s="47">
        <f>M623+M624</f>
        <v>0</v>
      </c>
      <c r="N622" s="47">
        <f>N623+N624</f>
        <v>0</v>
      </c>
      <c r="O622" s="47">
        <f t="shared" si="157"/>
        <v>0</v>
      </c>
      <c r="P622" s="47">
        <f t="shared" si="158"/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 t="shared" si="159"/>
        <v>0</v>
      </c>
      <c r="U622" s="47">
        <f t="shared" si="160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68">
        <v>0</v>
      </c>
      <c r="M623" s="49">
        <v>0</v>
      </c>
      <c r="N623" s="49">
        <v>0</v>
      </c>
      <c r="O623" s="49">
        <f t="shared" si="157"/>
        <v>0</v>
      </c>
      <c r="P623" s="49">
        <f t="shared" si="158"/>
        <v>0</v>
      </c>
      <c r="Q623" s="49">
        <v>0</v>
      </c>
      <c r="R623" s="49">
        <v>0</v>
      </c>
      <c r="S623" s="49">
        <v>0</v>
      </c>
      <c r="T623" s="49">
        <f t="shared" si="159"/>
        <v>0</v>
      </c>
      <c r="U623" s="49">
        <f t="shared" si="160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67">
        <v>0</v>
      </c>
      <c r="M624" s="47">
        <v>0</v>
      </c>
      <c r="N624" s="47">
        <v>0</v>
      </c>
      <c r="O624" s="47">
        <f t="shared" si="157"/>
        <v>0</v>
      </c>
      <c r="P624" s="47">
        <f t="shared" si="158"/>
        <v>0</v>
      </c>
      <c r="Q624" s="47">
        <v>0</v>
      </c>
      <c r="R624" s="47">
        <v>0</v>
      </c>
      <c r="S624" s="47">
        <v>0</v>
      </c>
      <c r="T624" s="47">
        <f t="shared" si="159"/>
        <v>0</v>
      </c>
      <c r="U624" s="47">
        <f t="shared" si="160"/>
        <v>0</v>
      </c>
    </row>
    <row r="625" spans="1:21" ht="19.5" x14ac:dyDescent="0.3">
      <c r="A625" s="138"/>
      <c r="B625" s="139"/>
      <c r="C625" s="188" t="s">
        <v>18</v>
      </c>
      <c r="D625" s="466" t="s">
        <v>38</v>
      </c>
      <c r="E625" s="141"/>
      <c r="F625" s="141"/>
      <c r="G625" s="142"/>
      <c r="H625" s="189"/>
      <c r="I625" s="135"/>
      <c r="J625" s="135"/>
      <c r="K625" s="136"/>
      <c r="L625" s="48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22" t="s">
        <v>223</v>
      </c>
      <c r="E626" s="145"/>
      <c r="F626" s="145"/>
      <c r="G626" s="143"/>
      <c r="H626" s="423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48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48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48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48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48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48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48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5"/>
      <c r="J633" s="167">
        <v>0</v>
      </c>
      <c r="K633" s="46"/>
      <c r="L633" s="48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5"/>
      <c r="J634" s="167">
        <v>0</v>
      </c>
      <c r="K634" s="46"/>
      <c r="L634" s="48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22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48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48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5"/>
      <c r="J637" s="167">
        <v>0</v>
      </c>
      <c r="K637" s="46"/>
      <c r="L637" s="48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5"/>
      <c r="J638" s="167">
        <v>0</v>
      </c>
      <c r="K638" s="46"/>
      <c r="L638" s="48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5"/>
      <c r="J639" s="167">
        <v>0</v>
      </c>
      <c r="K639" s="46"/>
      <c r="L639" s="48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5"/>
      <c r="J640" s="167">
        <v>0</v>
      </c>
      <c r="K640" s="46"/>
      <c r="L640" s="48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413"/>
      <c r="B641" s="414" t="s">
        <v>236</v>
      </c>
      <c r="C641" s="413"/>
      <c r="D641" s="415"/>
      <c r="E641" s="415"/>
      <c r="F641" s="415"/>
      <c r="G641" s="416"/>
      <c r="H641" s="424"/>
      <c r="I641" s="425"/>
      <c r="J641" s="425"/>
      <c r="K641" s="420"/>
      <c r="L641" s="498"/>
      <c r="M641" s="420"/>
      <c r="N641" s="420"/>
      <c r="O641" s="420"/>
      <c r="P641" s="420"/>
      <c r="Q641" s="420"/>
      <c r="R641" s="420"/>
      <c r="S641" s="420"/>
      <c r="T641" s="420"/>
      <c r="U641" s="420"/>
    </row>
    <row r="642" spans="1:21" ht="19.5" hidden="1" x14ac:dyDescent="0.3">
      <c r="A642" s="128"/>
      <c r="B642" s="159"/>
      <c r="C642" s="218" t="s">
        <v>18</v>
      </c>
      <c r="D642" s="789" t="s">
        <v>19</v>
      </c>
      <c r="E642" s="771"/>
      <c r="F642" s="771"/>
      <c r="G642" s="772"/>
      <c r="H642" s="232" t="s">
        <v>14</v>
      </c>
      <c r="I642" s="45"/>
      <c r="J642" s="45"/>
      <c r="K642" s="46"/>
      <c r="L642" s="469">
        <f>L643+L644</f>
        <v>0</v>
      </c>
      <c r="M642" s="132">
        <f>M643+M644</f>
        <v>0</v>
      </c>
      <c r="N642" s="132">
        <f>N643+N644</f>
        <v>0</v>
      </c>
      <c r="O642" s="132">
        <f t="shared" ref="O642:O650" si="163">IF(L642&gt;0,N642*100/L642,0)</f>
        <v>0</v>
      </c>
      <c r="P642" s="132">
        <f t="shared" ref="P642:P650" si="164"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t="shared" ref="T642:T650" ca="1" si="165">IF(Q642&gt;0,S642*100/Q642,0)</f>
        <v>0</v>
      </c>
      <c r="U642" s="132">
        <f t="shared" ref="U642:U650" ca="1" si="166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68">
        <f t="shared" ref="L643:N644" si="167">L646+L649</f>
        <v>0</v>
      </c>
      <c r="M643" s="49">
        <f t="shared" si="167"/>
        <v>0</v>
      </c>
      <c r="N643" s="49">
        <f t="shared" si="167"/>
        <v>0</v>
      </c>
      <c r="O643" s="49">
        <f t="shared" si="163"/>
        <v>0</v>
      </c>
      <c r="P643" s="49">
        <f t="shared" si="164"/>
        <v>0</v>
      </c>
      <c r="Q643" s="49">
        <f t="shared" ref="Q643:S644" si="168">Q646+Q649</f>
        <v>0</v>
      </c>
      <c r="R643" s="49">
        <f t="shared" si="168"/>
        <v>0</v>
      </c>
      <c r="S643" s="49">
        <f t="shared" si="168"/>
        <v>0</v>
      </c>
      <c r="T643" s="49">
        <f t="shared" si="165"/>
        <v>0</v>
      </c>
      <c r="U643" s="49">
        <f t="shared" si="166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67">
        <f t="shared" si="167"/>
        <v>0</v>
      </c>
      <c r="M644" s="47">
        <f t="shared" si="167"/>
        <v>0</v>
      </c>
      <c r="N644" s="47">
        <f t="shared" si="167"/>
        <v>0</v>
      </c>
      <c r="O644" s="47">
        <f t="shared" si="163"/>
        <v>0</v>
      </c>
      <c r="P644" s="47">
        <f t="shared" si="164"/>
        <v>0</v>
      </c>
      <c r="Q644" s="47">
        <f t="shared" ca="1" si="168"/>
        <v>0</v>
      </c>
      <c r="R644" s="47">
        <f t="shared" ca="1" si="168"/>
        <v>0</v>
      </c>
      <c r="S644" s="47">
        <f t="shared" ca="1" si="168"/>
        <v>0</v>
      </c>
      <c r="T644" s="47">
        <f t="shared" ca="1" si="165"/>
        <v>0</v>
      </c>
      <c r="U644" s="47">
        <f t="shared" ca="1" si="166"/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67">
        <f>L646+L647</f>
        <v>0</v>
      </c>
      <c r="M645" s="47">
        <f>M646+M647</f>
        <v>0</v>
      </c>
      <c r="N645" s="47">
        <f>N646+N647</f>
        <v>0</v>
      </c>
      <c r="O645" s="47">
        <f t="shared" si="163"/>
        <v>0</v>
      </c>
      <c r="P645" s="47">
        <f t="shared" si="164"/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t="shared" ca="1" si="165"/>
        <v>0</v>
      </c>
      <c r="U645" s="47">
        <f t="shared" ca="1" si="166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68">
        <v>0</v>
      </c>
      <c r="M646" s="49">
        <v>0</v>
      </c>
      <c r="N646" s="49">
        <v>0</v>
      </c>
      <c r="O646" s="49">
        <f t="shared" si="163"/>
        <v>0</v>
      </c>
      <c r="P646" s="49">
        <f t="shared" si="164"/>
        <v>0</v>
      </c>
      <c r="Q646" s="49">
        <v>0</v>
      </c>
      <c r="R646" s="49">
        <v>0</v>
      </c>
      <c r="S646" s="49">
        <v>0</v>
      </c>
      <c r="T646" s="49">
        <f t="shared" si="165"/>
        <v>0</v>
      </c>
      <c r="U646" s="49">
        <f t="shared" si="166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67">
        <v>0</v>
      </c>
      <c r="M647" s="47">
        <v>0</v>
      </c>
      <c r="N647" s="47">
        <v>0</v>
      </c>
      <c r="O647" s="47">
        <f t="shared" si="163"/>
        <v>0</v>
      </c>
      <c r="P647" s="47">
        <f t="shared" si="164"/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t="shared" ca="1" si="165"/>
        <v>0</v>
      </c>
      <c r="U647" s="47">
        <f t="shared" ca="1" si="166"/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67">
        <f>L649+L650</f>
        <v>0</v>
      </c>
      <c r="M648" s="47">
        <f>M649+M650</f>
        <v>0</v>
      </c>
      <c r="N648" s="47">
        <f>N649+N650</f>
        <v>0</v>
      </c>
      <c r="O648" s="47">
        <f t="shared" si="163"/>
        <v>0</v>
      </c>
      <c r="P648" s="47">
        <f t="shared" si="164"/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 t="shared" si="165"/>
        <v>0</v>
      </c>
      <c r="U648" s="47">
        <f t="shared" si="166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68">
        <v>0</v>
      </c>
      <c r="M649" s="49">
        <v>0</v>
      </c>
      <c r="N649" s="49">
        <v>0</v>
      </c>
      <c r="O649" s="49">
        <f t="shared" si="163"/>
        <v>0</v>
      </c>
      <c r="P649" s="49">
        <f t="shared" si="164"/>
        <v>0</v>
      </c>
      <c r="Q649" s="49">
        <v>0</v>
      </c>
      <c r="R649" s="49">
        <v>0</v>
      </c>
      <c r="S649" s="49">
        <v>0</v>
      </c>
      <c r="T649" s="49">
        <f t="shared" si="165"/>
        <v>0</v>
      </c>
      <c r="U649" s="49">
        <f t="shared" si="166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67">
        <v>0</v>
      </c>
      <c r="M650" s="47">
        <v>0</v>
      </c>
      <c r="N650" s="47">
        <v>0</v>
      </c>
      <c r="O650" s="47">
        <f t="shared" si="163"/>
        <v>0</v>
      </c>
      <c r="P650" s="47">
        <f t="shared" si="164"/>
        <v>0</v>
      </c>
      <c r="Q650" s="47">
        <v>0</v>
      </c>
      <c r="R650" s="47">
        <v>0</v>
      </c>
      <c r="S650" s="47">
        <v>0</v>
      </c>
      <c r="T650" s="47">
        <f t="shared" si="165"/>
        <v>0</v>
      </c>
      <c r="U650" s="47">
        <f t="shared" si="166"/>
        <v>0</v>
      </c>
    </row>
    <row r="651" spans="1:21" ht="19.5" hidden="1" x14ac:dyDescent="0.3">
      <c r="A651" s="138"/>
      <c r="B651" s="139"/>
      <c r="C651" s="218" t="s">
        <v>18</v>
      </c>
      <c r="D651" s="497" t="s">
        <v>38</v>
      </c>
      <c r="E651" s="141"/>
      <c r="F651" s="141"/>
      <c r="G651" s="142"/>
      <c r="H651" s="189"/>
      <c r="I651" s="135"/>
      <c r="J651" s="135"/>
      <c r="K651" s="136"/>
      <c r="L651" s="48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237</v>
      </c>
      <c r="E652" s="41"/>
      <c r="F652" s="41"/>
      <c r="G652" s="43"/>
      <c r="H652" s="137" t="s">
        <v>46</v>
      </c>
      <c r="I652" s="427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465"/>
      <c r="M652" s="46"/>
      <c r="N652" s="429"/>
      <c r="O652" s="46"/>
      <c r="P652" s="46"/>
      <c r="Q652" s="46"/>
      <c r="R652" s="46"/>
      <c r="S652" s="429"/>
      <c r="T652" s="46"/>
      <c r="U652" s="46"/>
    </row>
    <row r="653" spans="1:21" ht="18.75" hidden="1" x14ac:dyDescent="0.25">
      <c r="A653" s="217"/>
      <c r="B653" s="159"/>
      <c r="C653" s="159"/>
      <c r="D653" s="48" t="s">
        <v>238</v>
      </c>
      <c r="E653" s="41"/>
      <c r="F653" s="41"/>
      <c r="G653" s="43"/>
      <c r="H653" s="137" t="s">
        <v>35</v>
      </c>
      <c r="I653" s="427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465"/>
      <c r="M653" s="46"/>
      <c r="N653" s="429"/>
      <c r="O653" s="46"/>
      <c r="P653" s="46"/>
      <c r="Q653" s="46"/>
      <c r="R653" s="46"/>
      <c r="S653" s="429"/>
      <c r="T653" s="46"/>
      <c r="U653" s="46"/>
    </row>
    <row r="654" spans="1:21" ht="19.5" hidden="1" x14ac:dyDescent="0.3">
      <c r="A654" s="217"/>
      <c r="B654" s="159"/>
      <c r="C654" s="159"/>
      <c r="D654" s="48" t="s">
        <v>239</v>
      </c>
      <c r="E654" s="41"/>
      <c r="F654" s="41"/>
      <c r="G654" s="43"/>
      <c r="H654" s="423" t="s">
        <v>46</v>
      </c>
      <c r="I654" s="428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465"/>
      <c r="M654" s="46"/>
      <c r="N654" s="429"/>
      <c r="O654" s="46"/>
      <c r="P654" s="46"/>
      <c r="Q654" s="46"/>
      <c r="R654" s="46"/>
      <c r="S654" s="42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240</v>
      </c>
      <c r="F655" s="41"/>
      <c r="G655" s="43"/>
      <c r="H655" s="137" t="s">
        <v>35</v>
      </c>
      <c r="I655" s="191"/>
      <c r="J655" s="167">
        <v>0</v>
      </c>
      <c r="K655" s="46"/>
      <c r="L655" s="465"/>
      <c r="M655" s="46"/>
      <c r="N655" s="429"/>
      <c r="O655" s="46"/>
      <c r="P655" s="46"/>
      <c r="Q655" s="46"/>
      <c r="R655" s="46"/>
      <c r="S655" s="42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465"/>
      <c r="M656" s="46"/>
      <c r="N656" s="429"/>
      <c r="O656" s="46"/>
      <c r="P656" s="46"/>
      <c r="Q656" s="46"/>
      <c r="R656" s="46"/>
      <c r="S656" s="42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27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465"/>
      <c r="M657" s="46"/>
      <c r="N657" s="429"/>
      <c r="O657" s="46"/>
      <c r="P657" s="46"/>
      <c r="Q657" s="46"/>
      <c r="R657" s="46"/>
      <c r="S657" s="42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241</v>
      </c>
      <c r="F658" s="41"/>
      <c r="G658" s="43"/>
      <c r="H658" s="137" t="s">
        <v>35</v>
      </c>
      <c r="I658" s="191"/>
      <c r="J658" s="167">
        <v>0</v>
      </c>
      <c r="K658" s="46"/>
      <c r="L658" s="465"/>
      <c r="M658" s="46"/>
      <c r="N658" s="429"/>
      <c r="O658" s="46"/>
      <c r="P658" s="46"/>
      <c r="Q658" s="46"/>
      <c r="R658" s="46"/>
      <c r="S658" s="42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465"/>
      <c r="M659" s="46"/>
      <c r="N659" s="429"/>
      <c r="O659" s="46"/>
      <c r="P659" s="46"/>
      <c r="Q659" s="46"/>
      <c r="R659" s="46"/>
      <c r="S659" s="42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27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465"/>
      <c r="M660" s="46"/>
      <c r="N660" s="429"/>
      <c r="O660" s="46"/>
      <c r="P660" s="46"/>
      <c r="Q660" s="46"/>
      <c r="R660" s="46"/>
      <c r="S660" s="429"/>
      <c r="T660" s="46"/>
      <c r="U660" s="46"/>
    </row>
    <row r="661" spans="1:21" ht="19.5" hidden="1" x14ac:dyDescent="0.3">
      <c r="A661" s="217"/>
      <c r="B661" s="159"/>
      <c r="C661" s="159"/>
      <c r="D661" s="344" t="s">
        <v>242</v>
      </c>
      <c r="E661" s="41"/>
      <c r="F661" s="41"/>
      <c r="G661" s="43"/>
      <c r="H661" s="423" t="s">
        <v>46</v>
      </c>
      <c r="I661" s="428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465"/>
      <c r="M661" s="46"/>
      <c r="N661" s="429"/>
      <c r="O661" s="46"/>
      <c r="P661" s="46"/>
      <c r="Q661" s="46"/>
      <c r="R661" s="46"/>
      <c r="S661" s="42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243</v>
      </c>
      <c r="F662" s="41"/>
      <c r="G662" s="43"/>
      <c r="H662" s="137" t="s">
        <v>34</v>
      </c>
      <c r="I662" s="191"/>
      <c r="J662" s="167">
        <v>0</v>
      </c>
      <c r="K662" s="46"/>
      <c r="L662" s="496"/>
      <c r="M662" s="46"/>
      <c r="N662" s="429"/>
      <c r="O662" s="46"/>
      <c r="P662" s="46"/>
      <c r="Q662" s="429"/>
      <c r="R662" s="46"/>
      <c r="S662" s="42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496"/>
      <c r="M663" s="46"/>
      <c r="N663" s="429"/>
      <c r="O663" s="46"/>
      <c r="P663" s="46"/>
      <c r="Q663" s="429"/>
      <c r="R663" s="46"/>
      <c r="S663" s="42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244</v>
      </c>
      <c r="F664" s="41"/>
      <c r="G664" s="43"/>
      <c r="H664" s="189"/>
      <c r="I664" s="191"/>
      <c r="J664" s="45"/>
      <c r="K664" s="46"/>
      <c r="L664" s="496"/>
      <c r="M664" s="46"/>
      <c r="N664" s="429"/>
      <c r="O664" s="46"/>
      <c r="P664" s="46"/>
      <c r="Q664" s="429"/>
      <c r="R664" s="46"/>
      <c r="S664" s="42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245</v>
      </c>
      <c r="G665" s="43"/>
      <c r="H665" s="137" t="s">
        <v>35</v>
      </c>
      <c r="I665" s="191"/>
      <c r="J665" s="167">
        <v>0</v>
      </c>
      <c r="K665" s="46"/>
      <c r="L665" s="496"/>
      <c r="M665" s="46"/>
      <c r="N665" s="429"/>
      <c r="O665" s="46"/>
      <c r="P665" s="46"/>
      <c r="Q665" s="429"/>
      <c r="R665" s="46"/>
      <c r="S665" s="42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496"/>
      <c r="M666" s="46"/>
      <c r="N666" s="429"/>
      <c r="O666" s="46"/>
      <c r="P666" s="46"/>
      <c r="Q666" s="429"/>
      <c r="R666" s="46"/>
      <c r="S666" s="42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496"/>
      <c r="M667" s="46"/>
      <c r="N667" s="429"/>
      <c r="O667" s="46"/>
      <c r="P667" s="46"/>
      <c r="Q667" s="429"/>
      <c r="R667" s="46"/>
      <c r="S667" s="42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246</v>
      </c>
      <c r="G668" s="43"/>
      <c r="H668" s="137" t="s">
        <v>35</v>
      </c>
      <c r="I668" s="191"/>
      <c r="J668" s="167">
        <v>0</v>
      </c>
      <c r="K668" s="46"/>
      <c r="L668" s="496"/>
      <c r="M668" s="46"/>
      <c r="N668" s="429"/>
      <c r="O668" s="46"/>
      <c r="P668" s="46"/>
      <c r="Q668" s="429"/>
      <c r="R668" s="46"/>
      <c r="S668" s="42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496"/>
      <c r="M669" s="46"/>
      <c r="N669" s="429"/>
      <c r="O669" s="46"/>
      <c r="P669" s="46"/>
      <c r="Q669" s="429"/>
      <c r="R669" s="46"/>
      <c r="S669" s="42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496"/>
      <c r="M670" s="46"/>
      <c r="N670" s="429"/>
      <c r="O670" s="46"/>
      <c r="P670" s="46"/>
      <c r="Q670" s="429"/>
      <c r="R670" s="46"/>
      <c r="S670" s="429"/>
      <c r="T670" s="46"/>
      <c r="U670" s="46"/>
    </row>
    <row r="671" spans="1:21" ht="18.75" hidden="1" x14ac:dyDescent="0.25">
      <c r="A671" s="217"/>
      <c r="B671" s="159"/>
      <c r="C671" s="159"/>
      <c r="D671" s="48" t="s">
        <v>247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465"/>
      <c r="M671" s="46"/>
      <c r="N671" s="429"/>
      <c r="O671" s="46"/>
      <c r="P671" s="46"/>
      <c r="Q671" s="46"/>
      <c r="R671" s="46"/>
      <c r="S671" s="42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496"/>
      <c r="M672" s="46"/>
      <c r="N672" s="429"/>
      <c r="O672" s="46"/>
      <c r="P672" s="46"/>
      <c r="Q672" s="429"/>
      <c r="R672" s="46"/>
      <c r="S672" s="42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27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496"/>
      <c r="M673" s="46"/>
      <c r="N673" s="429"/>
      <c r="O673" s="46"/>
      <c r="P673" s="46"/>
      <c r="Q673" s="429"/>
      <c r="R673" s="46"/>
      <c r="S673" s="429"/>
      <c r="T673" s="46"/>
      <c r="U673" s="46"/>
    </row>
    <row r="674" spans="1:21" ht="19.5" hidden="1" x14ac:dyDescent="0.3">
      <c r="A674" s="217"/>
      <c r="B674" s="159"/>
      <c r="C674" s="159"/>
      <c r="D674" s="48" t="s">
        <v>248</v>
      </c>
      <c r="E674" s="41"/>
      <c r="F674" s="41"/>
      <c r="G674" s="43"/>
      <c r="H674" s="423" t="s">
        <v>35</v>
      </c>
      <c r="I674" s="428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496"/>
      <c r="M674" s="46"/>
      <c r="N674" s="429"/>
      <c r="O674" s="46"/>
      <c r="P674" s="46"/>
      <c r="Q674" s="429"/>
      <c r="R674" s="46"/>
      <c r="S674" s="42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23" t="s">
        <v>46</v>
      </c>
      <c r="I675" s="428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465"/>
      <c r="M675" s="46"/>
      <c r="N675" s="429"/>
      <c r="O675" s="46"/>
      <c r="P675" s="46"/>
      <c r="Q675" s="46"/>
      <c r="R675" s="46"/>
      <c r="S675" s="42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249</v>
      </c>
      <c r="F676" s="41"/>
      <c r="G676" s="43"/>
      <c r="H676" s="137" t="s">
        <v>35</v>
      </c>
      <c r="I676" s="427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465"/>
      <c r="M676" s="46"/>
      <c r="N676" s="429"/>
      <c r="O676" s="46"/>
      <c r="P676" s="46"/>
      <c r="Q676" s="46"/>
      <c r="R676" s="46"/>
      <c r="S676" s="42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496"/>
      <c r="M677" s="46"/>
      <c r="N677" s="429"/>
      <c r="O677" s="46"/>
      <c r="P677" s="46"/>
      <c r="Q677" s="429"/>
      <c r="R677" s="46"/>
      <c r="S677" s="42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27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496"/>
      <c r="M678" s="46"/>
      <c r="N678" s="429"/>
      <c r="O678" s="46"/>
      <c r="P678" s="46"/>
      <c r="Q678" s="429"/>
      <c r="R678" s="46"/>
      <c r="S678" s="42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250</v>
      </c>
      <c r="F679" s="41"/>
      <c r="G679" s="43"/>
      <c r="H679" s="137" t="s">
        <v>35</v>
      </c>
      <c r="I679" s="427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465"/>
      <c r="M679" s="46"/>
      <c r="N679" s="429"/>
      <c r="O679" s="46"/>
      <c r="P679" s="46"/>
      <c r="Q679" s="46"/>
      <c r="R679" s="46"/>
      <c r="S679" s="42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496"/>
      <c r="M680" s="46"/>
      <c r="N680" s="429"/>
      <c r="O680" s="46"/>
      <c r="P680" s="46"/>
      <c r="Q680" s="429"/>
      <c r="R680" s="46"/>
      <c r="S680" s="42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27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496"/>
      <c r="M681" s="46"/>
      <c r="N681" s="429"/>
      <c r="O681" s="46"/>
      <c r="P681" s="46"/>
      <c r="Q681" s="429"/>
      <c r="R681" s="46"/>
      <c r="S681" s="429"/>
      <c r="T681" s="46"/>
      <c r="U681" s="46"/>
    </row>
    <row r="682" spans="1:21" ht="19.5" hidden="1" x14ac:dyDescent="0.3">
      <c r="A682" s="217"/>
      <c r="B682" s="159"/>
      <c r="C682" s="159"/>
      <c r="D682" s="48" t="s">
        <v>251</v>
      </c>
      <c r="E682" s="41"/>
      <c r="F682" s="41"/>
      <c r="G682" s="43"/>
      <c r="H682" s="423" t="s">
        <v>46</v>
      </c>
      <c r="I682" s="428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465"/>
      <c r="M682" s="46"/>
      <c r="N682" s="429"/>
      <c r="O682" s="46"/>
      <c r="P682" s="46"/>
      <c r="Q682" s="46"/>
      <c r="R682" s="46"/>
      <c r="S682" s="42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252</v>
      </c>
      <c r="F683" s="41"/>
      <c r="G683" s="43"/>
      <c r="H683" s="137" t="s">
        <v>35</v>
      </c>
      <c r="I683" s="191"/>
      <c r="J683" s="167">
        <v>0</v>
      </c>
      <c r="K683" s="46"/>
      <c r="L683" s="496"/>
      <c r="M683" s="46"/>
      <c r="N683" s="429"/>
      <c r="O683" s="46"/>
      <c r="P683" s="46"/>
      <c r="Q683" s="429"/>
      <c r="R683" s="46"/>
      <c r="S683" s="42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496"/>
      <c r="M684" s="46"/>
      <c r="N684" s="429"/>
      <c r="O684" s="46"/>
      <c r="P684" s="46"/>
      <c r="Q684" s="429"/>
      <c r="R684" s="46"/>
      <c r="S684" s="42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496"/>
      <c r="M685" s="46"/>
      <c r="N685" s="429"/>
      <c r="O685" s="46"/>
      <c r="P685" s="46"/>
      <c r="Q685" s="429"/>
      <c r="R685" s="46"/>
      <c r="S685" s="42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253</v>
      </c>
      <c r="F686" s="41"/>
      <c r="G686" s="43"/>
      <c r="H686" s="137" t="s">
        <v>35</v>
      </c>
      <c r="I686" s="191"/>
      <c r="J686" s="167">
        <v>0</v>
      </c>
      <c r="K686" s="46"/>
      <c r="L686" s="496"/>
      <c r="M686" s="46"/>
      <c r="N686" s="429"/>
      <c r="O686" s="46"/>
      <c r="P686" s="46"/>
      <c r="Q686" s="429"/>
      <c r="R686" s="46"/>
      <c r="S686" s="42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496"/>
      <c r="M687" s="46"/>
      <c r="N687" s="429"/>
      <c r="O687" s="46"/>
      <c r="P687" s="46"/>
      <c r="Q687" s="429"/>
      <c r="R687" s="46"/>
      <c r="S687" s="429"/>
      <c r="T687" s="46"/>
      <c r="U687" s="46"/>
    </row>
    <row r="688" spans="1:21" ht="19.5" hidden="1" x14ac:dyDescent="0.3">
      <c r="A688" s="263"/>
      <c r="B688" s="430" t="s">
        <v>254</v>
      </c>
      <c r="C688" s="264"/>
      <c r="D688" s="266"/>
      <c r="E688" s="266"/>
      <c r="F688" s="266"/>
      <c r="G688" s="267"/>
      <c r="H688" s="196" t="s">
        <v>46</v>
      </c>
      <c r="I688" s="342"/>
      <c r="J688" s="346">
        <v>0</v>
      </c>
      <c r="K688" s="4"/>
      <c r="L688" s="495"/>
      <c r="M688" s="4"/>
      <c r="N688" s="431"/>
      <c r="O688" s="4"/>
      <c r="P688" s="4"/>
      <c r="Q688" s="431"/>
      <c r="R688" s="4"/>
      <c r="S688" s="431"/>
      <c r="T688" s="4"/>
      <c r="U688" s="4"/>
    </row>
    <row r="689" spans="1:21" ht="19.5" x14ac:dyDescent="0.3">
      <c r="A689" s="406"/>
      <c r="B689" s="407" t="s">
        <v>255</v>
      </c>
      <c r="C689" s="406"/>
      <c r="D689" s="408"/>
      <c r="E689" s="408"/>
      <c r="F689" s="408"/>
      <c r="G689" s="409"/>
      <c r="H689" s="494" t="s">
        <v>35</v>
      </c>
      <c r="I689" s="493">
        <f ca="1">I707</f>
        <v>0</v>
      </c>
      <c r="J689" s="493">
        <f ca="1">J707</f>
        <v>0</v>
      </c>
      <c r="K689" s="434">
        <f ca="1">IF(I689&gt;0,J689*100/I689,0)</f>
        <v>0</v>
      </c>
      <c r="L689" s="471"/>
      <c r="M689" s="412"/>
      <c r="N689" s="412"/>
      <c r="O689" s="412"/>
      <c r="P689" s="412"/>
      <c r="Q689" s="412"/>
      <c r="R689" s="412"/>
      <c r="S689" s="412"/>
      <c r="T689" s="412"/>
      <c r="U689" s="412"/>
    </row>
    <row r="690" spans="1:21" ht="19.5" x14ac:dyDescent="0.3">
      <c r="A690" s="128"/>
      <c r="B690" s="159"/>
      <c r="C690" s="188" t="s">
        <v>18</v>
      </c>
      <c r="D690" s="789" t="s">
        <v>19</v>
      </c>
      <c r="E690" s="771"/>
      <c r="F690" s="771"/>
      <c r="G690" s="772"/>
      <c r="H690" s="232" t="s">
        <v>14</v>
      </c>
      <c r="I690" s="45"/>
      <c r="J690" s="45"/>
      <c r="K690" s="46"/>
      <c r="L690" s="469">
        <f>L691+L692</f>
        <v>0</v>
      </c>
      <c r="M690" s="132">
        <f>M691+M692</f>
        <v>0</v>
      </c>
      <c r="N690" s="132">
        <f>N691+N692</f>
        <v>0</v>
      </c>
      <c r="O690" s="132">
        <f t="shared" ref="O690:O698" si="169">IF(L690&gt;0,N690*100/L690,0)</f>
        <v>0</v>
      </c>
      <c r="P690" s="132">
        <f t="shared" ref="P690:P698" si="170"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10538.83</v>
      </c>
      <c r="T690" s="132">
        <f t="shared" ref="T690:T698" ca="1" si="171">IF(Q690&gt;0,S690*100/Q690,0)</f>
        <v>15.652502599138572</v>
      </c>
      <c r="U690" s="132">
        <f t="shared" ref="U690:U698" ca="1" si="172">IF(R690&gt;0,S690*100/R690,0)</f>
        <v>15.652502599138572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68">
        <f t="shared" ref="L691:N692" si="173">L694+L697</f>
        <v>0</v>
      </c>
      <c r="M691" s="49">
        <f t="shared" si="173"/>
        <v>0</v>
      </c>
      <c r="N691" s="49">
        <f t="shared" si="173"/>
        <v>0</v>
      </c>
      <c r="O691" s="49">
        <f t="shared" si="169"/>
        <v>0</v>
      </c>
      <c r="P691" s="49">
        <f t="shared" si="170"/>
        <v>0</v>
      </c>
      <c r="Q691" s="49">
        <f t="shared" ref="Q691:S692" si="174">Q694+Q697</f>
        <v>0</v>
      </c>
      <c r="R691" s="49">
        <f t="shared" si="174"/>
        <v>0</v>
      </c>
      <c r="S691" s="49">
        <f t="shared" si="174"/>
        <v>0</v>
      </c>
      <c r="T691" s="49">
        <f t="shared" si="171"/>
        <v>0</v>
      </c>
      <c r="U691" s="49">
        <f t="shared" si="172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67">
        <f t="shared" si="173"/>
        <v>0</v>
      </c>
      <c r="M692" s="47">
        <f t="shared" si="173"/>
        <v>0</v>
      </c>
      <c r="N692" s="47">
        <f t="shared" si="173"/>
        <v>0</v>
      </c>
      <c r="O692" s="47">
        <f t="shared" si="169"/>
        <v>0</v>
      </c>
      <c r="P692" s="47">
        <f t="shared" si="170"/>
        <v>0</v>
      </c>
      <c r="Q692" s="47">
        <f t="shared" ca="1" si="174"/>
        <v>67330</v>
      </c>
      <c r="R692" s="47">
        <f t="shared" ca="1" si="174"/>
        <v>67330</v>
      </c>
      <c r="S692" s="47">
        <f t="shared" ca="1" si="174"/>
        <v>10538.83</v>
      </c>
      <c r="T692" s="47">
        <f t="shared" ca="1" si="171"/>
        <v>15.652502599138572</v>
      </c>
      <c r="U692" s="47">
        <f t="shared" ca="1" si="172"/>
        <v>15.652502599138572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67">
        <f>L694+L695</f>
        <v>0</v>
      </c>
      <c r="M693" s="47">
        <f>M694+M695</f>
        <v>0</v>
      </c>
      <c r="N693" s="47">
        <f>N694+N695</f>
        <v>0</v>
      </c>
      <c r="O693" s="47">
        <f t="shared" si="169"/>
        <v>0</v>
      </c>
      <c r="P693" s="47">
        <f t="shared" si="170"/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10538.83</v>
      </c>
      <c r="T693" s="47">
        <f t="shared" ca="1" si="171"/>
        <v>15.652502599138572</v>
      </c>
      <c r="U693" s="47">
        <f t="shared" ca="1" si="172"/>
        <v>15.652502599138572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68">
        <v>0</v>
      </c>
      <c r="M694" s="49">
        <v>0</v>
      </c>
      <c r="N694" s="49">
        <v>0</v>
      </c>
      <c r="O694" s="49">
        <f t="shared" si="169"/>
        <v>0</v>
      </c>
      <c r="P694" s="49">
        <f t="shared" si="170"/>
        <v>0</v>
      </c>
      <c r="Q694" s="49">
        <v>0</v>
      </c>
      <c r="R694" s="49">
        <v>0</v>
      </c>
      <c r="S694" s="49">
        <v>0</v>
      </c>
      <c r="T694" s="49">
        <f t="shared" si="171"/>
        <v>0</v>
      </c>
      <c r="U694" s="49">
        <f t="shared" si="172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67">
        <v>0</v>
      </c>
      <c r="M695" s="47">
        <v>0</v>
      </c>
      <c r="N695" s="47">
        <v>0</v>
      </c>
      <c r="O695" s="47">
        <f t="shared" si="169"/>
        <v>0</v>
      </c>
      <c r="P695" s="47">
        <f t="shared" si="170"/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IFERROR(__xludf.DUMMYFUNCTION("IMPORTRANGE(""https://docs.google.com/spreadsheets/d/1ItG2mGa2ceCfYo0BwxsXqNm01IGEUdYcSSLTEv9YCik/edit?usp=sharing"",""เบิกจ่ายกองทุน!N82"")"),10538.83)</f>
        <v>10538.83</v>
      </c>
      <c r="T695" s="47">
        <f t="shared" ca="1" si="171"/>
        <v>15.652502599138572</v>
      </c>
      <c r="U695" s="47">
        <f t="shared" ca="1" si="172"/>
        <v>15.652502599138572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67">
        <f>L697+L698</f>
        <v>0</v>
      </c>
      <c r="M696" s="47">
        <f>M697+M698</f>
        <v>0</v>
      </c>
      <c r="N696" s="47">
        <f>N697+N698</f>
        <v>0</v>
      </c>
      <c r="O696" s="47">
        <f t="shared" si="169"/>
        <v>0</v>
      </c>
      <c r="P696" s="47">
        <f t="shared" si="170"/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 t="shared" si="171"/>
        <v>0</v>
      </c>
      <c r="U696" s="47">
        <f t="shared" si="172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68">
        <v>0</v>
      </c>
      <c r="M697" s="49">
        <v>0</v>
      </c>
      <c r="N697" s="49">
        <v>0</v>
      </c>
      <c r="O697" s="49">
        <f t="shared" si="169"/>
        <v>0</v>
      </c>
      <c r="P697" s="49">
        <f t="shared" si="170"/>
        <v>0</v>
      </c>
      <c r="Q697" s="49">
        <v>0</v>
      </c>
      <c r="R697" s="49">
        <v>0</v>
      </c>
      <c r="S697" s="49">
        <v>0</v>
      </c>
      <c r="T697" s="49">
        <f t="shared" si="171"/>
        <v>0</v>
      </c>
      <c r="U697" s="49">
        <f t="shared" si="172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67">
        <v>0</v>
      </c>
      <c r="M698" s="47">
        <v>0</v>
      </c>
      <c r="N698" s="47">
        <v>0</v>
      </c>
      <c r="O698" s="47">
        <f t="shared" si="169"/>
        <v>0</v>
      </c>
      <c r="P698" s="47">
        <f t="shared" si="170"/>
        <v>0</v>
      </c>
      <c r="Q698" s="47">
        <v>0</v>
      </c>
      <c r="R698" s="47">
        <v>0</v>
      </c>
      <c r="S698" s="47">
        <v>0</v>
      </c>
      <c r="T698" s="47">
        <f t="shared" si="171"/>
        <v>0</v>
      </c>
      <c r="U698" s="47">
        <f t="shared" si="172"/>
        <v>0</v>
      </c>
    </row>
    <row r="699" spans="1:21" ht="19.5" x14ac:dyDescent="0.3">
      <c r="A699" s="138"/>
      <c r="B699" s="139"/>
      <c r="C699" s="188" t="s">
        <v>18</v>
      </c>
      <c r="D699" s="492" t="s">
        <v>38</v>
      </c>
      <c r="E699" s="141"/>
      <c r="F699" s="141"/>
      <c r="G699" s="141"/>
      <c r="H699" s="189"/>
      <c r="I699" s="135"/>
      <c r="J699" s="135"/>
      <c r="K699" s="136"/>
      <c r="L699" s="465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256</v>
      </c>
      <c r="F700" s="145"/>
      <c r="G700" s="143"/>
      <c r="H700" s="137" t="s">
        <v>257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t="shared" ref="K700:K710" ca="1" si="175">IF(I700&gt;0,J700*100/I700,0)</f>
        <v>0</v>
      </c>
      <c r="L700" s="48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35" t="s">
        <v>258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t="shared" ca="1" si="175"/>
        <v>0</v>
      </c>
      <c r="L701" s="48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 t="shared" si="175"/>
        <v>0</v>
      </c>
      <c r="L702" s="48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259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t="shared" ca="1" si="175"/>
        <v>0</v>
      </c>
      <c r="L703" s="48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 t="shared" si="175"/>
        <v>0</v>
      </c>
      <c r="L704" s="48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260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t="shared" ca="1" si="175"/>
        <v>0</v>
      </c>
      <c r="L705" s="48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 t="shared" si="175"/>
        <v>0</v>
      </c>
      <c r="L706" s="48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261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t="shared" ca="1" si="175"/>
        <v>0</v>
      </c>
      <c r="L707" s="48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36" t="s">
        <v>262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 t="shared" si="175"/>
        <v>0</v>
      </c>
      <c r="L708" s="48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263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t="shared" ca="1" si="175"/>
        <v>0</v>
      </c>
      <c r="L709" s="465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36" t="s">
        <v>264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 t="shared" si="175"/>
        <v>0</v>
      </c>
      <c r="L710" s="465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72"/>
      <c r="B711" s="328"/>
      <c r="C711" s="328"/>
      <c r="D711" s="373"/>
      <c r="E711" s="373"/>
      <c r="F711" s="373"/>
      <c r="G711" s="374"/>
      <c r="H711" s="329"/>
      <c r="I711" s="330"/>
      <c r="J711" s="330"/>
      <c r="K711" s="331"/>
      <c r="L711" s="491"/>
      <c r="M711" s="331"/>
      <c r="N711" s="331"/>
      <c r="O711" s="331"/>
      <c r="P711" s="331"/>
      <c r="Q711" s="331"/>
      <c r="R711" s="331"/>
      <c r="S711" s="331"/>
      <c r="T711" s="331"/>
      <c r="U711" s="331"/>
    </row>
    <row r="712" spans="1:21" ht="19.5" hidden="1" x14ac:dyDescent="0.3">
      <c r="A712" s="406"/>
      <c r="B712" s="437" t="s">
        <v>265</v>
      </c>
      <c r="C712" s="406"/>
      <c r="D712" s="408"/>
      <c r="E712" s="408"/>
      <c r="F712" s="408"/>
      <c r="G712" s="409"/>
      <c r="H712" s="438" t="s">
        <v>46</v>
      </c>
      <c r="I712" s="411"/>
      <c r="J712" s="411">
        <f>J724</f>
        <v>0</v>
      </c>
      <c r="K712" s="439">
        <f>IF(I712&gt;0,J712*100/I712,0)</f>
        <v>0</v>
      </c>
      <c r="L712" s="471"/>
      <c r="M712" s="412"/>
      <c r="N712" s="412"/>
      <c r="O712" s="412"/>
      <c r="P712" s="412"/>
      <c r="Q712" s="412"/>
      <c r="R712" s="412"/>
      <c r="S712" s="412"/>
      <c r="T712" s="412"/>
      <c r="U712" s="412"/>
    </row>
    <row r="713" spans="1:21" ht="19.5" hidden="1" x14ac:dyDescent="0.3">
      <c r="A713" s="406"/>
      <c r="B713" s="437" t="s">
        <v>266</v>
      </c>
      <c r="C713" s="406"/>
      <c r="D713" s="408"/>
      <c r="E713" s="408"/>
      <c r="F713" s="408"/>
      <c r="G713" s="409"/>
      <c r="H713" s="410"/>
      <c r="I713" s="411"/>
      <c r="J713" s="411"/>
      <c r="K713" s="412"/>
      <c r="L713" s="471"/>
      <c r="M713" s="412"/>
      <c r="N713" s="412"/>
      <c r="O713" s="412"/>
      <c r="P713" s="412"/>
      <c r="Q713" s="412"/>
      <c r="R713" s="412"/>
      <c r="S713" s="412"/>
      <c r="T713" s="412"/>
      <c r="U713" s="412"/>
    </row>
    <row r="714" spans="1:21" ht="19.5" hidden="1" x14ac:dyDescent="0.3">
      <c r="A714" s="128"/>
      <c r="B714" s="159"/>
      <c r="C714" s="326" t="s">
        <v>18</v>
      </c>
      <c r="D714" s="788" t="s">
        <v>19</v>
      </c>
      <c r="E714" s="771"/>
      <c r="F714" s="771"/>
      <c r="G714" s="772"/>
      <c r="H714" s="384" t="s">
        <v>14</v>
      </c>
      <c r="I714" s="45"/>
      <c r="J714" s="45"/>
      <c r="K714" s="46"/>
      <c r="L714" s="469">
        <f>L715+L716</f>
        <v>0</v>
      </c>
      <c r="M714" s="132">
        <f>M715+M716</f>
        <v>0</v>
      </c>
      <c r="N714" s="132">
        <f>N715+N716</f>
        <v>0</v>
      </c>
      <c r="O714" s="132">
        <f t="shared" ref="O714:O722" si="176">IF(L714&gt;0,N714*100/L714,0)</f>
        <v>0</v>
      </c>
      <c r="P714" s="132">
        <f t="shared" ref="P714:P722" si="177"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 t="shared" ref="T714:T722" si="178">IF(Q714&gt;0,S714*100/Q714,0)</f>
        <v>0</v>
      </c>
      <c r="U714" s="132">
        <f t="shared" ref="U714:U722" si="179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68">
        <f t="shared" ref="L715:N716" si="180">L718+L721</f>
        <v>0</v>
      </c>
      <c r="M715" s="49">
        <f t="shared" si="180"/>
        <v>0</v>
      </c>
      <c r="N715" s="49">
        <f t="shared" si="180"/>
        <v>0</v>
      </c>
      <c r="O715" s="49">
        <f t="shared" si="176"/>
        <v>0</v>
      </c>
      <c r="P715" s="49">
        <f t="shared" si="177"/>
        <v>0</v>
      </c>
      <c r="Q715" s="49">
        <f t="shared" ref="Q715:S716" si="181">Q718+Q721</f>
        <v>0</v>
      </c>
      <c r="R715" s="49">
        <f t="shared" si="181"/>
        <v>0</v>
      </c>
      <c r="S715" s="49">
        <f t="shared" si="181"/>
        <v>0</v>
      </c>
      <c r="T715" s="49">
        <f t="shared" si="178"/>
        <v>0</v>
      </c>
      <c r="U715" s="49">
        <f t="shared" si="179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67">
        <f t="shared" si="180"/>
        <v>0</v>
      </c>
      <c r="M716" s="47">
        <f t="shared" si="180"/>
        <v>0</v>
      </c>
      <c r="N716" s="47">
        <f t="shared" si="180"/>
        <v>0</v>
      </c>
      <c r="O716" s="47">
        <f t="shared" si="176"/>
        <v>0</v>
      </c>
      <c r="P716" s="47">
        <f t="shared" si="177"/>
        <v>0</v>
      </c>
      <c r="Q716" s="47">
        <f t="shared" si="181"/>
        <v>0</v>
      </c>
      <c r="R716" s="47">
        <f t="shared" si="181"/>
        <v>0</v>
      </c>
      <c r="S716" s="47">
        <f t="shared" si="181"/>
        <v>0</v>
      </c>
      <c r="T716" s="47">
        <f t="shared" si="178"/>
        <v>0</v>
      </c>
      <c r="U716" s="47">
        <f t="shared" si="179"/>
        <v>0</v>
      </c>
    </row>
    <row r="717" spans="1:21" ht="19.5" hidden="1" x14ac:dyDescent="0.3">
      <c r="A717" s="128"/>
      <c r="B717" s="159"/>
      <c r="C717" s="159"/>
      <c r="D717" s="490" t="s">
        <v>22</v>
      </c>
      <c r="E717" s="41"/>
      <c r="F717" s="41"/>
      <c r="G717" s="43"/>
      <c r="H717" s="384" t="s">
        <v>14</v>
      </c>
      <c r="I717" s="135"/>
      <c r="J717" s="135"/>
      <c r="K717" s="136"/>
      <c r="L717" s="467">
        <f>L718+L719</f>
        <v>0</v>
      </c>
      <c r="M717" s="47">
        <f>M718+M719</f>
        <v>0</v>
      </c>
      <c r="N717" s="47">
        <f>N718+N719</f>
        <v>0</v>
      </c>
      <c r="O717" s="47">
        <f t="shared" si="176"/>
        <v>0</v>
      </c>
      <c r="P717" s="47">
        <f t="shared" si="177"/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 t="shared" si="178"/>
        <v>0</v>
      </c>
      <c r="U717" s="47">
        <f t="shared" si="179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68">
        <v>0</v>
      </c>
      <c r="M718" s="49">
        <v>0</v>
      </c>
      <c r="N718" s="49">
        <v>0</v>
      </c>
      <c r="O718" s="49">
        <f t="shared" si="176"/>
        <v>0</v>
      </c>
      <c r="P718" s="49">
        <f t="shared" si="177"/>
        <v>0</v>
      </c>
      <c r="Q718" s="49">
        <v>0</v>
      </c>
      <c r="R718" s="49">
        <v>0</v>
      </c>
      <c r="S718" s="49">
        <v>0</v>
      </c>
      <c r="T718" s="49">
        <f t="shared" si="178"/>
        <v>0</v>
      </c>
      <c r="U718" s="49">
        <f t="shared" si="179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67">
        <v>0</v>
      </c>
      <c r="M719" s="47">
        <v>0</v>
      </c>
      <c r="N719" s="47">
        <v>0</v>
      </c>
      <c r="O719" s="47">
        <f t="shared" si="176"/>
        <v>0</v>
      </c>
      <c r="P719" s="47">
        <f t="shared" si="177"/>
        <v>0</v>
      </c>
      <c r="Q719" s="47">
        <v>0</v>
      </c>
      <c r="R719" s="47">
        <v>0</v>
      </c>
      <c r="S719" s="47">
        <v>0</v>
      </c>
      <c r="T719" s="47">
        <f t="shared" si="178"/>
        <v>0</v>
      </c>
      <c r="U719" s="47">
        <f t="shared" si="179"/>
        <v>0</v>
      </c>
    </row>
    <row r="720" spans="1:21" ht="19.5" hidden="1" x14ac:dyDescent="0.3">
      <c r="A720" s="128"/>
      <c r="B720" s="159"/>
      <c r="C720" s="159"/>
      <c r="D720" s="490" t="s">
        <v>23</v>
      </c>
      <c r="E720" s="41"/>
      <c r="F720" s="41"/>
      <c r="G720" s="43"/>
      <c r="H720" s="386" t="s">
        <v>14</v>
      </c>
      <c r="I720" s="135"/>
      <c r="J720" s="135"/>
      <c r="K720" s="136"/>
      <c r="L720" s="467">
        <f>L721+L722</f>
        <v>0</v>
      </c>
      <c r="M720" s="47">
        <f>M721+M722</f>
        <v>0</v>
      </c>
      <c r="N720" s="47">
        <f>N721+N722</f>
        <v>0</v>
      </c>
      <c r="O720" s="47">
        <f t="shared" si="176"/>
        <v>0</v>
      </c>
      <c r="P720" s="47">
        <f t="shared" si="177"/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 t="shared" si="178"/>
        <v>0</v>
      </c>
      <c r="U720" s="47">
        <f t="shared" si="179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68">
        <v>0</v>
      </c>
      <c r="M721" s="49">
        <v>0</v>
      </c>
      <c r="N721" s="49">
        <v>0</v>
      </c>
      <c r="O721" s="49">
        <f t="shared" si="176"/>
        <v>0</v>
      </c>
      <c r="P721" s="49">
        <f t="shared" si="177"/>
        <v>0</v>
      </c>
      <c r="Q721" s="49">
        <v>0</v>
      </c>
      <c r="R721" s="49">
        <v>0</v>
      </c>
      <c r="S721" s="49">
        <v>0</v>
      </c>
      <c r="T721" s="49">
        <f t="shared" si="178"/>
        <v>0</v>
      </c>
      <c r="U721" s="49">
        <f t="shared" si="179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387" t="s">
        <v>14</v>
      </c>
      <c r="I722" s="135"/>
      <c r="J722" s="135"/>
      <c r="K722" s="136"/>
      <c r="L722" s="467">
        <v>0</v>
      </c>
      <c r="M722" s="47">
        <v>0</v>
      </c>
      <c r="N722" s="47">
        <v>0</v>
      </c>
      <c r="O722" s="47">
        <f t="shared" si="176"/>
        <v>0</v>
      </c>
      <c r="P722" s="47">
        <f t="shared" si="177"/>
        <v>0</v>
      </c>
      <c r="Q722" s="47">
        <v>0</v>
      </c>
      <c r="R722" s="47">
        <v>0</v>
      </c>
      <c r="S722" s="47">
        <v>0</v>
      </c>
      <c r="T722" s="47">
        <f t="shared" si="178"/>
        <v>0</v>
      </c>
      <c r="U722" s="47">
        <f t="shared" si="179"/>
        <v>0</v>
      </c>
    </row>
    <row r="723" spans="1:21" ht="19.5" hidden="1" x14ac:dyDescent="0.3">
      <c r="A723" s="138"/>
      <c r="B723" s="139"/>
      <c r="C723" s="326" t="s">
        <v>18</v>
      </c>
      <c r="D723" s="489" t="s">
        <v>38</v>
      </c>
      <c r="E723" s="141"/>
      <c r="F723" s="141"/>
      <c r="G723" s="142"/>
      <c r="H723" s="189"/>
      <c r="I723" s="135"/>
      <c r="J723" s="135"/>
      <c r="K723" s="136"/>
      <c r="L723" s="48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267</v>
      </c>
      <c r="F724" s="41"/>
      <c r="G724" s="43"/>
      <c r="H724" s="160" t="s">
        <v>46</v>
      </c>
      <c r="I724" s="327">
        <v>0</v>
      </c>
      <c r="J724" s="45"/>
      <c r="K724" s="46"/>
      <c r="L724" s="465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41"/>
      <c r="B725" s="3"/>
      <c r="C725" s="3"/>
      <c r="D725" s="1"/>
      <c r="E725" s="441" t="s">
        <v>268</v>
      </c>
      <c r="F725" s="1"/>
      <c r="G725" s="53"/>
      <c r="H725" s="442" t="s">
        <v>46</v>
      </c>
      <c r="I725" s="443">
        <v>0</v>
      </c>
      <c r="J725" s="55"/>
      <c r="K725" s="4"/>
      <c r="L725" s="46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06"/>
      <c r="B726" s="407" t="s">
        <v>269</v>
      </c>
      <c r="C726" s="406"/>
      <c r="D726" s="408"/>
      <c r="E726" s="408"/>
      <c r="F726" s="408"/>
      <c r="G726" s="409"/>
      <c r="H726" s="432" t="s">
        <v>35</v>
      </c>
      <c r="I726" s="433">
        <f ca="1">IFERROR(__xludf.DUMMYFUNCTION("IMPORTRANGE(""https://docs.google.com/spreadsheets/d/1eHaY18a8A9IcSdp1K8H6x8fbOy06t2VsZHhMHf-1x7Y/edit?usp=sharing"",""แผน!GA82"")"),21)</f>
        <v>21</v>
      </c>
      <c r="J726" s="433">
        <f>J742+J746+J749</f>
        <v>0</v>
      </c>
      <c r="K726" s="434">
        <f ca="1">IF(I726&gt;0,J726*100/I726,0)</f>
        <v>0</v>
      </c>
      <c r="L726" s="471"/>
      <c r="M726" s="412"/>
      <c r="N726" s="412"/>
      <c r="O726" s="412"/>
      <c r="P726" s="412"/>
      <c r="Q726" s="412"/>
      <c r="R726" s="412"/>
      <c r="S726" s="412"/>
      <c r="T726" s="412"/>
      <c r="U726" s="412"/>
    </row>
    <row r="727" spans="1:21" ht="19.5" x14ac:dyDescent="0.3">
      <c r="A727" s="444"/>
      <c r="B727" s="406"/>
      <c r="C727" s="406"/>
      <c r="D727" s="408"/>
      <c r="E727" s="408"/>
      <c r="F727" s="408"/>
      <c r="G727" s="409"/>
      <c r="H727" s="432" t="s">
        <v>46</v>
      </c>
      <c r="I727" s="433">
        <f ca="1">IFERROR(__xludf.DUMMYFUNCTION("IMPORTRANGE(""https://docs.google.com/spreadsheets/d/1eHaY18a8A9IcSdp1K8H6x8fbOy06t2VsZHhMHf-1x7Y/edit?usp=sharing"",""แผน!FZ82"")"),200)</f>
        <v>200</v>
      </c>
      <c r="J727" s="433">
        <f>J752+J755</f>
        <v>0</v>
      </c>
      <c r="K727" s="434">
        <f ca="1">IF(I727&gt;0,J727*100/I727,0)</f>
        <v>0</v>
      </c>
      <c r="L727" s="471"/>
      <c r="M727" s="412"/>
      <c r="N727" s="412"/>
      <c r="O727" s="412"/>
      <c r="P727" s="412"/>
      <c r="Q727" s="412"/>
      <c r="R727" s="412"/>
      <c r="S727" s="412"/>
      <c r="T727" s="412"/>
      <c r="U727" s="412"/>
    </row>
    <row r="728" spans="1:21" ht="19.5" x14ac:dyDescent="0.3">
      <c r="A728" s="128"/>
      <c r="B728" s="159"/>
      <c r="C728" s="188" t="s">
        <v>18</v>
      </c>
      <c r="D728" s="789" t="s">
        <v>19</v>
      </c>
      <c r="E728" s="771"/>
      <c r="F728" s="771"/>
      <c r="G728" s="772"/>
      <c r="H728" s="232" t="s">
        <v>14</v>
      </c>
      <c r="I728" s="45"/>
      <c r="J728" s="45"/>
      <c r="K728" s="46"/>
      <c r="L728" s="469">
        <f>L729+L730</f>
        <v>0</v>
      </c>
      <c r="M728" s="132">
        <f>M729+M730</f>
        <v>0</v>
      </c>
      <c r="N728" s="132">
        <f>N729+N730</f>
        <v>0</v>
      </c>
      <c r="O728" s="132">
        <f t="shared" ref="O728:O736" si="182">IF(L728&gt;0,N728*100/L728,0)</f>
        <v>0</v>
      </c>
      <c r="P728" s="132">
        <f t="shared" ref="P728:P736" si="183"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26715</v>
      </c>
      <c r="T728" s="132">
        <f t="shared" ref="T728:T736" ca="1" si="184">IF(Q728&gt;0,S728*100/Q728,0)</f>
        <v>15.179494755503029</v>
      </c>
      <c r="U728" s="132">
        <f t="shared" ref="U728:U736" ca="1" si="185">IF(R728&gt;0,S728*100/R728,0)</f>
        <v>15.179494755503029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68">
        <f t="shared" ref="L729:N730" si="186">L732+L735</f>
        <v>0</v>
      </c>
      <c r="M729" s="49">
        <f t="shared" si="186"/>
        <v>0</v>
      </c>
      <c r="N729" s="49">
        <f t="shared" si="186"/>
        <v>0</v>
      </c>
      <c r="O729" s="49">
        <f t="shared" si="182"/>
        <v>0</v>
      </c>
      <c r="P729" s="49">
        <f t="shared" si="183"/>
        <v>0</v>
      </c>
      <c r="Q729" s="49">
        <f t="shared" ref="Q729:S730" si="187">Q732+Q735</f>
        <v>0</v>
      </c>
      <c r="R729" s="49">
        <f t="shared" si="187"/>
        <v>0</v>
      </c>
      <c r="S729" s="49">
        <f t="shared" si="187"/>
        <v>0</v>
      </c>
      <c r="T729" s="49">
        <f t="shared" si="184"/>
        <v>0</v>
      </c>
      <c r="U729" s="49">
        <f t="shared" si="185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67">
        <f t="shared" si="186"/>
        <v>0</v>
      </c>
      <c r="M730" s="47">
        <f t="shared" si="186"/>
        <v>0</v>
      </c>
      <c r="N730" s="47">
        <f t="shared" si="186"/>
        <v>0</v>
      </c>
      <c r="O730" s="47">
        <f t="shared" si="182"/>
        <v>0</v>
      </c>
      <c r="P730" s="47">
        <f t="shared" si="183"/>
        <v>0</v>
      </c>
      <c r="Q730" s="47">
        <f t="shared" ca="1" si="187"/>
        <v>175994</v>
      </c>
      <c r="R730" s="47">
        <f t="shared" ca="1" si="187"/>
        <v>175994</v>
      </c>
      <c r="S730" s="47">
        <f t="shared" ca="1" si="187"/>
        <v>26715</v>
      </c>
      <c r="T730" s="47">
        <f t="shared" ca="1" si="184"/>
        <v>15.179494755503029</v>
      </c>
      <c r="U730" s="47">
        <f t="shared" ca="1" si="185"/>
        <v>15.179494755503029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67">
        <f>L732+L733</f>
        <v>0</v>
      </c>
      <c r="M731" s="47">
        <f>M732+M733</f>
        <v>0</v>
      </c>
      <c r="N731" s="47">
        <f>N732+N733</f>
        <v>0</v>
      </c>
      <c r="O731" s="47">
        <f t="shared" si="182"/>
        <v>0</v>
      </c>
      <c r="P731" s="47">
        <f t="shared" si="183"/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26715</v>
      </c>
      <c r="T731" s="47">
        <f t="shared" ca="1" si="184"/>
        <v>15.179494755503029</v>
      </c>
      <c r="U731" s="47">
        <f t="shared" ca="1" si="185"/>
        <v>15.179494755503029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68">
        <v>0</v>
      </c>
      <c r="M732" s="49">
        <v>0</v>
      </c>
      <c r="N732" s="49">
        <v>0</v>
      </c>
      <c r="O732" s="49">
        <f t="shared" si="182"/>
        <v>0</v>
      </c>
      <c r="P732" s="49">
        <f t="shared" si="183"/>
        <v>0</v>
      </c>
      <c r="Q732" s="49">
        <v>0</v>
      </c>
      <c r="R732" s="49">
        <v>0</v>
      </c>
      <c r="S732" s="49">
        <v>0</v>
      </c>
      <c r="T732" s="49">
        <f t="shared" si="184"/>
        <v>0</v>
      </c>
      <c r="U732" s="49">
        <f t="shared" si="185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67">
        <v>0</v>
      </c>
      <c r="M733" s="47">
        <v>0</v>
      </c>
      <c r="N733" s="47">
        <v>0</v>
      </c>
      <c r="O733" s="47">
        <f t="shared" si="182"/>
        <v>0</v>
      </c>
      <c r="P733" s="47">
        <f t="shared" si="183"/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IFERROR(__xludf.DUMMYFUNCTION("IMPORTRANGE(""https://docs.google.com/spreadsheets/d/1ItG2mGa2ceCfYo0BwxsXqNm01IGEUdYcSSLTEv9YCik/edit?usp=sharing"",""เบิกจ่ายกองทุน!Q82"")"),26715)</f>
        <v>26715</v>
      </c>
      <c r="T733" s="47">
        <f t="shared" ca="1" si="184"/>
        <v>15.179494755503029</v>
      </c>
      <c r="U733" s="47">
        <f t="shared" ca="1" si="185"/>
        <v>15.179494755503029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67">
        <f>L735+L736</f>
        <v>0</v>
      </c>
      <c r="M734" s="47">
        <f>M735+M736</f>
        <v>0</v>
      </c>
      <c r="N734" s="47">
        <f>N735+N736</f>
        <v>0</v>
      </c>
      <c r="O734" s="47">
        <f t="shared" si="182"/>
        <v>0</v>
      </c>
      <c r="P734" s="47">
        <f t="shared" si="183"/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 t="shared" si="184"/>
        <v>0</v>
      </c>
      <c r="U734" s="47">
        <f t="shared" si="185"/>
        <v>0</v>
      </c>
    </row>
    <row r="735" spans="1:21" ht="18.75" hidden="1" x14ac:dyDescent="0.25">
      <c r="A735" s="128"/>
      <c r="B735" s="159"/>
      <c r="C735" s="159"/>
      <c r="D735" s="159"/>
      <c r="E735" s="326" t="s">
        <v>20</v>
      </c>
      <c r="F735" s="159"/>
      <c r="G735" s="43"/>
      <c r="H735" s="160" t="s">
        <v>14</v>
      </c>
      <c r="I735" s="135"/>
      <c r="J735" s="135"/>
      <c r="K735" s="136"/>
      <c r="L735" s="468">
        <v>0</v>
      </c>
      <c r="M735" s="49">
        <v>0</v>
      </c>
      <c r="N735" s="49">
        <v>0</v>
      </c>
      <c r="O735" s="49">
        <f t="shared" si="182"/>
        <v>0</v>
      </c>
      <c r="P735" s="49">
        <f t="shared" si="183"/>
        <v>0</v>
      </c>
      <c r="Q735" s="49">
        <v>0</v>
      </c>
      <c r="R735" s="49">
        <v>0</v>
      </c>
      <c r="S735" s="49">
        <v>0</v>
      </c>
      <c r="T735" s="49">
        <f t="shared" si="184"/>
        <v>0</v>
      </c>
      <c r="U735" s="49">
        <f t="shared" si="185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67">
        <v>0</v>
      </c>
      <c r="M736" s="47">
        <v>0</v>
      </c>
      <c r="N736" s="47">
        <v>0</v>
      </c>
      <c r="O736" s="47">
        <f t="shared" si="182"/>
        <v>0</v>
      </c>
      <c r="P736" s="47">
        <f t="shared" si="183"/>
        <v>0</v>
      </c>
      <c r="Q736" s="47">
        <v>0</v>
      </c>
      <c r="R736" s="47">
        <v>0</v>
      </c>
      <c r="S736" s="47">
        <v>0</v>
      </c>
      <c r="T736" s="47">
        <f t="shared" si="184"/>
        <v>0</v>
      </c>
      <c r="U736" s="47">
        <f t="shared" si="185"/>
        <v>0</v>
      </c>
    </row>
    <row r="737" spans="1:21" ht="19.5" x14ac:dyDescent="0.3">
      <c r="A737" s="138"/>
      <c r="B737" s="139"/>
      <c r="C737" s="188" t="s">
        <v>18</v>
      </c>
      <c r="D737" s="487" t="s">
        <v>38</v>
      </c>
      <c r="E737" s="212"/>
      <c r="F737" s="141"/>
      <c r="G737" s="142"/>
      <c r="H737" s="189"/>
      <c r="I737" s="45"/>
      <c r="J737" s="45"/>
      <c r="K737" s="46"/>
      <c r="L737" s="465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445" t="s">
        <v>121</v>
      </c>
      <c r="E738" s="139"/>
      <c r="F738" s="139"/>
      <c r="G738" s="143"/>
      <c r="H738" s="191"/>
      <c r="I738" s="45"/>
      <c r="J738" s="45"/>
      <c r="K738" s="46"/>
      <c r="L738" s="465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22" t="s">
        <v>270</v>
      </c>
      <c r="F739" s="139"/>
      <c r="G739" s="143"/>
      <c r="H739" s="191"/>
      <c r="I739" s="45"/>
      <c r="J739" s="45"/>
      <c r="K739" s="46"/>
      <c r="L739" s="465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81"/>
      <c r="B740" s="480"/>
      <c r="C740" s="480"/>
      <c r="D740" s="480"/>
      <c r="E740" s="480"/>
      <c r="F740" s="485" t="s">
        <v>271</v>
      </c>
      <c r="G740" s="477"/>
      <c r="H740" s="476" t="s">
        <v>46</v>
      </c>
      <c r="I740" s="483">
        <f ca="1">IFERROR(__xludf.DUMMYFUNCTION("IMPORTRANGE(""https://docs.google.com/spreadsheets/d/1eHaY18a8A9IcSdp1K8H6x8fbOy06t2VsZHhMHf-1x7Y/edit?usp=sharing"",""แผน!GB82"")"),160)</f>
        <v>160</v>
      </c>
      <c r="J740" s="474">
        <v>0</v>
      </c>
      <c r="K740" s="482">
        <f ca="1">IF(I740&gt;0,J740*100/I740,0)</f>
        <v>0</v>
      </c>
      <c r="L740" s="473"/>
      <c r="M740" s="472"/>
      <c r="N740" s="472"/>
      <c r="O740" s="472"/>
      <c r="P740" s="472"/>
      <c r="Q740" s="472"/>
      <c r="R740" s="472"/>
      <c r="S740" s="472"/>
      <c r="T740" s="472"/>
      <c r="U740" s="472"/>
    </row>
    <row r="741" spans="1:21" ht="18.75" x14ac:dyDescent="0.25">
      <c r="A741" s="481"/>
      <c r="B741" s="480"/>
      <c r="C741" s="480"/>
      <c r="D741" s="480"/>
      <c r="E741" s="480"/>
      <c r="F741" s="485" t="s">
        <v>306</v>
      </c>
      <c r="G741" s="477"/>
      <c r="H741" s="476" t="s">
        <v>35</v>
      </c>
      <c r="I741" s="475"/>
      <c r="J741" s="474">
        <v>0</v>
      </c>
      <c r="K741" s="472"/>
      <c r="L741" s="473"/>
      <c r="M741" s="472"/>
      <c r="N741" s="472"/>
      <c r="O741" s="472"/>
      <c r="P741" s="472"/>
      <c r="Q741" s="472"/>
      <c r="R741" s="472"/>
      <c r="S741" s="472"/>
      <c r="T741" s="472"/>
      <c r="U741" s="472"/>
    </row>
    <row r="742" spans="1:21" ht="18.75" x14ac:dyDescent="0.25">
      <c r="A742" s="481"/>
      <c r="B742" s="480"/>
      <c r="C742" s="480"/>
      <c r="D742" s="480"/>
      <c r="E742" s="480"/>
      <c r="F742" s="485" t="s">
        <v>305</v>
      </c>
      <c r="G742" s="477"/>
      <c r="H742" s="476" t="s">
        <v>35</v>
      </c>
      <c r="I742" s="483">
        <f ca="1">IFERROR(__xludf.DUMMYFUNCTION("IMPORTRANGE(""https://docs.google.com/spreadsheets/d/1eHaY18a8A9IcSdp1K8H6x8fbOy06t2VsZHhMHf-1x7Y/edit?usp=sharing"",""แผน!GC82"")"),16)</f>
        <v>16</v>
      </c>
      <c r="J742" s="474">
        <v>0</v>
      </c>
      <c r="K742" s="482">
        <f ca="1">IF(I742&gt;0,J742*100/I742,0)</f>
        <v>0</v>
      </c>
      <c r="L742" s="473"/>
      <c r="M742" s="472"/>
      <c r="N742" s="472"/>
      <c r="O742" s="472"/>
      <c r="P742" s="472"/>
      <c r="Q742" s="472"/>
      <c r="R742" s="472"/>
      <c r="S742" s="472"/>
      <c r="T742" s="472"/>
      <c r="U742" s="472"/>
    </row>
    <row r="743" spans="1:21" ht="18.75" x14ac:dyDescent="0.25">
      <c r="A743" s="481"/>
      <c r="B743" s="480"/>
      <c r="C743" s="480"/>
      <c r="D743" s="480"/>
      <c r="E743" s="485" t="s">
        <v>274</v>
      </c>
      <c r="F743" s="480"/>
      <c r="G743" s="477"/>
      <c r="H743" s="484"/>
      <c r="I743" s="475"/>
      <c r="J743" s="475"/>
      <c r="K743" s="472"/>
      <c r="L743" s="473"/>
      <c r="M743" s="472"/>
      <c r="N743" s="472"/>
      <c r="O743" s="472"/>
      <c r="P743" s="472"/>
      <c r="Q743" s="472"/>
      <c r="R743" s="472"/>
      <c r="S743" s="472"/>
      <c r="T743" s="472"/>
      <c r="U743" s="472"/>
    </row>
    <row r="744" spans="1:21" ht="18.75" x14ac:dyDescent="0.25">
      <c r="A744" s="481"/>
      <c r="B744" s="480"/>
      <c r="C744" s="480"/>
      <c r="D744" s="480"/>
      <c r="E744" s="480"/>
      <c r="F744" s="485" t="s">
        <v>271</v>
      </c>
      <c r="G744" s="477"/>
      <c r="H744" s="476" t="s">
        <v>46</v>
      </c>
      <c r="I744" s="483">
        <f ca="1">IFERROR(__xludf.DUMMYFUNCTION("IMPORTRANGE(""https://docs.google.com/spreadsheets/d/1eHaY18a8A9IcSdp1K8H6x8fbOy06t2VsZHhMHf-1x7Y/edit?usp=sharing"",""แผน!GD82"")"),40)</f>
        <v>40</v>
      </c>
      <c r="J744" s="474">
        <v>0</v>
      </c>
      <c r="K744" s="482">
        <f ca="1">IF(I744&gt;0,J744*100/I744,0)</f>
        <v>0</v>
      </c>
      <c r="L744" s="473"/>
      <c r="M744" s="472"/>
      <c r="N744" s="472"/>
      <c r="O744" s="472"/>
      <c r="P744" s="472"/>
      <c r="Q744" s="472"/>
      <c r="R744" s="472"/>
      <c r="S744" s="472"/>
      <c r="T744" s="472"/>
      <c r="U744" s="472"/>
    </row>
    <row r="745" spans="1:21" ht="18.75" x14ac:dyDescent="0.25">
      <c r="A745" s="481"/>
      <c r="B745" s="480"/>
      <c r="C745" s="480"/>
      <c r="D745" s="480"/>
      <c r="E745" s="480"/>
      <c r="F745" s="485" t="s">
        <v>304</v>
      </c>
      <c r="G745" s="477"/>
      <c r="H745" s="476" t="s">
        <v>35</v>
      </c>
      <c r="I745" s="475"/>
      <c r="J745" s="474">
        <v>0</v>
      </c>
      <c r="K745" s="472"/>
      <c r="L745" s="473"/>
      <c r="M745" s="472"/>
      <c r="N745" s="472"/>
      <c r="O745" s="472"/>
      <c r="P745" s="472"/>
      <c r="Q745" s="472"/>
      <c r="R745" s="472"/>
      <c r="S745" s="472"/>
      <c r="T745" s="472"/>
      <c r="U745" s="472"/>
    </row>
    <row r="746" spans="1:21" ht="18.75" x14ac:dyDescent="0.25">
      <c r="A746" s="481"/>
      <c r="B746" s="480"/>
      <c r="C746" s="480"/>
      <c r="D746" s="480"/>
      <c r="E746" s="480"/>
      <c r="F746" s="485" t="s">
        <v>303</v>
      </c>
      <c r="G746" s="477"/>
      <c r="H746" s="476" t="s">
        <v>35</v>
      </c>
      <c r="I746" s="483">
        <f ca="1">IFERROR(__xludf.DUMMYFUNCTION("IMPORTRANGE(""https://docs.google.com/spreadsheets/d/1eHaY18a8A9IcSdp1K8H6x8fbOy06t2VsZHhMHf-1x7Y/edit?usp=sharing"",""แผน!GE82"")"),4)</f>
        <v>4</v>
      </c>
      <c r="J746" s="474">
        <v>0</v>
      </c>
      <c r="K746" s="482">
        <f ca="1">IF(I746&gt;0,J746*100/I746,0)</f>
        <v>0</v>
      </c>
      <c r="L746" s="473"/>
      <c r="M746" s="472"/>
      <c r="N746" s="472"/>
      <c r="O746" s="472"/>
      <c r="P746" s="472"/>
      <c r="Q746" s="472"/>
      <c r="R746" s="472"/>
      <c r="S746" s="472"/>
      <c r="T746" s="472"/>
      <c r="U746" s="472"/>
    </row>
    <row r="747" spans="1:21" ht="18.75" x14ac:dyDescent="0.25">
      <c r="A747" s="481"/>
      <c r="B747" s="480"/>
      <c r="C747" s="480"/>
      <c r="D747" s="480"/>
      <c r="E747" s="485" t="s">
        <v>277</v>
      </c>
      <c r="F747" s="479"/>
      <c r="G747" s="477"/>
      <c r="H747" s="484"/>
      <c r="I747" s="475"/>
      <c r="J747" s="475"/>
      <c r="K747" s="472"/>
      <c r="L747" s="473"/>
      <c r="M747" s="472"/>
      <c r="N747" s="472"/>
      <c r="O747" s="472"/>
      <c r="P747" s="472"/>
      <c r="Q747" s="472"/>
      <c r="R747" s="472"/>
      <c r="S747" s="472"/>
      <c r="T747" s="472"/>
      <c r="U747" s="472"/>
    </row>
    <row r="748" spans="1:21" ht="18.75" x14ac:dyDescent="0.25">
      <c r="A748" s="481"/>
      <c r="B748" s="480"/>
      <c r="C748" s="480"/>
      <c r="D748" s="480"/>
      <c r="E748" s="480"/>
      <c r="F748" s="485" t="s">
        <v>302</v>
      </c>
      <c r="G748" s="477"/>
      <c r="H748" s="476" t="s">
        <v>35</v>
      </c>
      <c r="I748" s="475"/>
      <c r="J748" s="474">
        <v>0</v>
      </c>
      <c r="K748" s="472"/>
      <c r="L748" s="473"/>
      <c r="M748" s="472"/>
      <c r="N748" s="472"/>
      <c r="O748" s="472"/>
      <c r="P748" s="472"/>
      <c r="Q748" s="472"/>
      <c r="R748" s="472"/>
      <c r="S748" s="472"/>
      <c r="T748" s="472"/>
      <c r="U748" s="472"/>
    </row>
    <row r="749" spans="1:21" ht="18.75" x14ac:dyDescent="0.25">
      <c r="A749" s="481"/>
      <c r="B749" s="480"/>
      <c r="C749" s="480"/>
      <c r="D749" s="480"/>
      <c r="E749" s="480"/>
      <c r="F749" s="485" t="s">
        <v>301</v>
      </c>
      <c r="G749" s="477"/>
      <c r="H749" s="476" t="s">
        <v>35</v>
      </c>
      <c r="I749" s="483">
        <f ca="1">IFERROR(__xludf.DUMMYFUNCTION("IMPORTRANGE(""https://docs.google.com/spreadsheets/d/1eHaY18a8A9IcSdp1K8H6x8fbOy06t2VsZHhMHf-1x7Y/edit?usp=sharing"",""แผน!GF82"")"),1)</f>
        <v>1</v>
      </c>
      <c r="J749" s="474">
        <v>0</v>
      </c>
      <c r="K749" s="482">
        <f ca="1">IF(I749&gt;0,J749*100/I749,0)</f>
        <v>0</v>
      </c>
      <c r="L749" s="473"/>
      <c r="M749" s="472"/>
      <c r="N749" s="472"/>
      <c r="O749" s="472"/>
      <c r="P749" s="472"/>
      <c r="Q749" s="472"/>
      <c r="R749" s="472"/>
      <c r="S749" s="472"/>
      <c r="T749" s="472"/>
      <c r="U749" s="472"/>
    </row>
    <row r="750" spans="1:21" ht="19.5" x14ac:dyDescent="0.3">
      <c r="A750" s="481"/>
      <c r="B750" s="480"/>
      <c r="C750" s="480"/>
      <c r="D750" s="486" t="s">
        <v>50</v>
      </c>
      <c r="E750" s="480"/>
      <c r="F750" s="479"/>
      <c r="G750" s="477"/>
      <c r="H750" s="484"/>
      <c r="I750" s="475"/>
      <c r="J750" s="475"/>
      <c r="K750" s="472"/>
      <c r="L750" s="473"/>
      <c r="M750" s="472"/>
      <c r="N750" s="472"/>
      <c r="O750" s="472"/>
      <c r="P750" s="472"/>
      <c r="Q750" s="472"/>
      <c r="R750" s="472"/>
      <c r="S750" s="472"/>
      <c r="T750" s="472"/>
      <c r="U750" s="472"/>
    </row>
    <row r="751" spans="1:21" ht="18.75" x14ac:dyDescent="0.25">
      <c r="A751" s="481"/>
      <c r="B751" s="480"/>
      <c r="C751" s="480"/>
      <c r="D751" s="480"/>
      <c r="E751" s="485" t="s">
        <v>270</v>
      </c>
      <c r="F751" s="479"/>
      <c r="G751" s="477"/>
      <c r="H751" s="484"/>
      <c r="I751" s="475"/>
      <c r="J751" s="475"/>
      <c r="K751" s="472"/>
      <c r="L751" s="473"/>
      <c r="M751" s="472"/>
      <c r="N751" s="472"/>
      <c r="O751" s="472"/>
      <c r="P751" s="472"/>
      <c r="Q751" s="472"/>
      <c r="R751" s="472"/>
      <c r="S751" s="472"/>
      <c r="T751" s="472"/>
      <c r="U751" s="472"/>
    </row>
    <row r="752" spans="1:21" ht="18.75" x14ac:dyDescent="0.25">
      <c r="A752" s="481"/>
      <c r="B752" s="480"/>
      <c r="C752" s="480"/>
      <c r="D752" s="480"/>
      <c r="E752" s="480"/>
      <c r="F752" s="478" t="s">
        <v>300</v>
      </c>
      <c r="G752" s="477"/>
      <c r="H752" s="476" t="s">
        <v>46</v>
      </c>
      <c r="I752" s="483">
        <f ca="1">IFERROR(__xludf.DUMMYFUNCTION("IMPORTRANGE(""https://docs.google.com/spreadsheets/d/1eHaY18a8A9IcSdp1K8H6x8fbOy06t2VsZHhMHf-1x7Y/edit?usp=sharing"",""แผน!GB82"")"),160)</f>
        <v>160</v>
      </c>
      <c r="J752" s="474">
        <v>0</v>
      </c>
      <c r="K752" s="482">
        <f ca="1">IF(I752&gt;0,J752*100/I752,0)</f>
        <v>0</v>
      </c>
      <c r="L752" s="473"/>
      <c r="M752" s="472"/>
      <c r="N752" s="472"/>
      <c r="O752" s="472"/>
      <c r="P752" s="472"/>
      <c r="Q752" s="472"/>
      <c r="R752" s="472"/>
      <c r="S752" s="472"/>
      <c r="T752" s="472"/>
      <c r="U752" s="472"/>
    </row>
    <row r="753" spans="1:21" ht="18.75" x14ac:dyDescent="0.25">
      <c r="A753" s="481"/>
      <c r="B753" s="480"/>
      <c r="C753" s="480"/>
      <c r="D753" s="480"/>
      <c r="E753" s="480"/>
      <c r="F753" s="478" t="s">
        <v>299</v>
      </c>
      <c r="G753" s="477"/>
      <c r="H753" s="476" t="s">
        <v>46</v>
      </c>
      <c r="I753" s="475"/>
      <c r="J753" s="474">
        <v>0</v>
      </c>
      <c r="K753" s="472"/>
      <c r="L753" s="473"/>
      <c r="M753" s="472"/>
      <c r="N753" s="472"/>
      <c r="O753" s="472"/>
      <c r="P753" s="472"/>
      <c r="Q753" s="472"/>
      <c r="R753" s="472"/>
      <c r="S753" s="472"/>
      <c r="T753" s="472"/>
      <c r="U753" s="472"/>
    </row>
    <row r="754" spans="1:21" ht="18.75" x14ac:dyDescent="0.25">
      <c r="A754" s="481"/>
      <c r="B754" s="480"/>
      <c r="C754" s="480"/>
      <c r="D754" s="480"/>
      <c r="E754" s="485" t="s">
        <v>274</v>
      </c>
      <c r="F754" s="479"/>
      <c r="G754" s="477"/>
      <c r="H754" s="484"/>
      <c r="I754" s="475"/>
      <c r="J754" s="475"/>
      <c r="K754" s="472"/>
      <c r="L754" s="473"/>
      <c r="M754" s="472"/>
      <c r="N754" s="472"/>
      <c r="O754" s="472"/>
      <c r="P754" s="472"/>
      <c r="Q754" s="472"/>
      <c r="R754" s="472"/>
      <c r="S754" s="472"/>
      <c r="T754" s="472"/>
      <c r="U754" s="472"/>
    </row>
    <row r="755" spans="1:21" ht="18.75" x14ac:dyDescent="0.25">
      <c r="A755" s="481"/>
      <c r="B755" s="480"/>
      <c r="C755" s="480"/>
      <c r="D755" s="480"/>
      <c r="E755" s="479"/>
      <c r="F755" s="478" t="s">
        <v>298</v>
      </c>
      <c r="G755" s="477"/>
      <c r="H755" s="476" t="s">
        <v>46</v>
      </c>
      <c r="I755" s="483">
        <f ca="1">IFERROR(__xludf.DUMMYFUNCTION("IMPORTRANGE(""https://docs.google.com/spreadsheets/d/1eHaY18a8A9IcSdp1K8H6x8fbOy06t2VsZHhMHf-1x7Y/edit?usp=sharing"",""แผน!GD82"")"),40)</f>
        <v>40</v>
      </c>
      <c r="J755" s="474">
        <v>0</v>
      </c>
      <c r="K755" s="482">
        <f ca="1">IF(I755&gt;0,J755*100/I755,0)</f>
        <v>0</v>
      </c>
      <c r="L755" s="473"/>
      <c r="M755" s="472"/>
      <c r="N755" s="472"/>
      <c r="O755" s="472"/>
      <c r="P755" s="472"/>
      <c r="Q755" s="472"/>
      <c r="R755" s="472"/>
      <c r="S755" s="472"/>
      <c r="T755" s="472"/>
      <c r="U755" s="472"/>
    </row>
    <row r="756" spans="1:21" ht="18.75" x14ac:dyDescent="0.25">
      <c r="A756" s="481"/>
      <c r="B756" s="480"/>
      <c r="C756" s="480"/>
      <c r="D756" s="480"/>
      <c r="E756" s="479"/>
      <c r="F756" s="478" t="s">
        <v>297</v>
      </c>
      <c r="G756" s="477"/>
      <c r="H756" s="476" t="s">
        <v>46</v>
      </c>
      <c r="I756" s="475"/>
      <c r="J756" s="474">
        <v>0</v>
      </c>
      <c r="K756" s="472"/>
      <c r="L756" s="473"/>
      <c r="M756" s="472"/>
      <c r="N756" s="472"/>
      <c r="O756" s="472"/>
      <c r="P756" s="472"/>
      <c r="Q756" s="472"/>
      <c r="R756" s="472"/>
      <c r="S756" s="472"/>
      <c r="T756" s="472"/>
      <c r="U756" s="472"/>
    </row>
    <row r="757" spans="1:21" ht="18.75" x14ac:dyDescent="0.25">
      <c r="A757" s="169"/>
      <c r="B757" s="169"/>
      <c r="C757" s="169"/>
      <c r="D757" s="169"/>
      <c r="E757" s="170" t="s">
        <v>284</v>
      </c>
      <c r="F757" s="171"/>
      <c r="G757" s="172"/>
      <c r="H757" s="446" t="s">
        <v>35</v>
      </c>
      <c r="I757" s="447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06"/>
      <c r="B758" s="407" t="s">
        <v>285</v>
      </c>
      <c r="C758" s="406"/>
      <c r="D758" s="408"/>
      <c r="E758" s="408"/>
      <c r="F758" s="408"/>
      <c r="G758" s="409"/>
      <c r="H758" s="432" t="s">
        <v>35</v>
      </c>
      <c r="I758" s="433">
        <f ca="1">I772</f>
        <v>50</v>
      </c>
      <c r="J758" s="433">
        <f>J772</f>
        <v>0</v>
      </c>
      <c r="K758" s="434">
        <f ca="1">IF(I758&gt;0,J758*100/I758,0)</f>
        <v>0</v>
      </c>
      <c r="L758" s="471"/>
      <c r="M758" s="412"/>
      <c r="N758" s="412"/>
      <c r="O758" s="412"/>
      <c r="P758" s="412"/>
      <c r="Q758" s="412"/>
      <c r="R758" s="412"/>
      <c r="S758" s="412"/>
      <c r="T758" s="412"/>
      <c r="U758" s="412"/>
    </row>
    <row r="759" spans="1:21" ht="19.5" x14ac:dyDescent="0.3">
      <c r="A759" s="444"/>
      <c r="B759" s="406"/>
      <c r="C759" s="406"/>
      <c r="D759" s="408"/>
      <c r="E759" s="408"/>
      <c r="F759" s="408"/>
      <c r="G759" s="409"/>
      <c r="H759" s="432" t="s">
        <v>46</v>
      </c>
      <c r="I759" s="433">
        <f ca="1">I774</f>
        <v>100</v>
      </c>
      <c r="J759" s="433">
        <f>J774</f>
        <v>0</v>
      </c>
      <c r="K759" s="434">
        <f ca="1">IF(I759&gt;0,J759*100/I759,0)</f>
        <v>0</v>
      </c>
      <c r="L759" s="471"/>
      <c r="M759" s="412"/>
      <c r="N759" s="412"/>
      <c r="O759" s="412"/>
      <c r="P759" s="412"/>
      <c r="Q759" s="412"/>
      <c r="R759" s="412"/>
      <c r="S759" s="412"/>
      <c r="T759" s="412"/>
      <c r="U759" s="412"/>
    </row>
    <row r="760" spans="1:21" ht="19.5" x14ac:dyDescent="0.3">
      <c r="A760" s="128"/>
      <c r="B760" s="159"/>
      <c r="C760" s="188" t="s">
        <v>18</v>
      </c>
      <c r="D760" s="789" t="s">
        <v>19</v>
      </c>
      <c r="E760" s="771"/>
      <c r="F760" s="771"/>
      <c r="G760" s="772"/>
      <c r="H760" s="232" t="s">
        <v>14</v>
      </c>
      <c r="I760" s="45"/>
      <c r="J760" s="45"/>
      <c r="K760" s="46"/>
      <c r="L760" s="469">
        <f>L761+L762</f>
        <v>0</v>
      </c>
      <c r="M760" s="132">
        <f>M761+M762</f>
        <v>0</v>
      </c>
      <c r="N760" s="132">
        <f>N761+N762</f>
        <v>0</v>
      </c>
      <c r="O760" s="132">
        <f t="shared" ref="O760:O768" si="188">IF(L760&gt;0,N760*100/L760,0)</f>
        <v>0</v>
      </c>
      <c r="P760" s="132">
        <f t="shared" ref="P760:P768" si="189"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160370</v>
      </c>
      <c r="T760" s="132">
        <f t="shared" ref="T760:T768" ca="1" si="190">IF(Q760&gt;0,S760*100/Q760,0)</f>
        <v>40.314228255404728</v>
      </c>
      <c r="U760" s="132">
        <f t="shared" ref="U760:U768" ca="1" si="191">IF(R760&gt;0,S760*100/R760,0)</f>
        <v>40.314228255404728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68">
        <f t="shared" ref="L761:N762" si="192">L764+L767</f>
        <v>0</v>
      </c>
      <c r="M761" s="49">
        <f t="shared" si="192"/>
        <v>0</v>
      </c>
      <c r="N761" s="49">
        <f t="shared" si="192"/>
        <v>0</v>
      </c>
      <c r="O761" s="49">
        <f t="shared" si="188"/>
        <v>0</v>
      </c>
      <c r="P761" s="49">
        <f t="shared" si="189"/>
        <v>0</v>
      </c>
      <c r="Q761" s="49">
        <f t="shared" ref="Q761:S762" si="193">Q764+Q767</f>
        <v>0</v>
      </c>
      <c r="R761" s="49">
        <f t="shared" si="193"/>
        <v>0</v>
      </c>
      <c r="S761" s="49">
        <f t="shared" si="193"/>
        <v>0</v>
      </c>
      <c r="T761" s="49">
        <f t="shared" si="190"/>
        <v>0</v>
      </c>
      <c r="U761" s="49">
        <f t="shared" si="191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67">
        <f t="shared" si="192"/>
        <v>0</v>
      </c>
      <c r="M762" s="47">
        <f t="shared" si="192"/>
        <v>0</v>
      </c>
      <c r="N762" s="47">
        <f t="shared" si="192"/>
        <v>0</v>
      </c>
      <c r="O762" s="47">
        <f t="shared" si="188"/>
        <v>0</v>
      </c>
      <c r="P762" s="47">
        <f t="shared" si="189"/>
        <v>0</v>
      </c>
      <c r="Q762" s="47">
        <f t="shared" ca="1" si="193"/>
        <v>397800</v>
      </c>
      <c r="R762" s="47">
        <f t="shared" ca="1" si="193"/>
        <v>397800</v>
      </c>
      <c r="S762" s="47">
        <f t="shared" ca="1" si="193"/>
        <v>160370</v>
      </c>
      <c r="T762" s="47">
        <f t="shared" ca="1" si="190"/>
        <v>40.314228255404728</v>
      </c>
      <c r="U762" s="47">
        <f t="shared" ca="1" si="191"/>
        <v>40.314228255404728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67">
        <f>L764+L765</f>
        <v>0</v>
      </c>
      <c r="M763" s="47">
        <f>M764+M765</f>
        <v>0</v>
      </c>
      <c r="N763" s="47">
        <f>N764+N765</f>
        <v>0</v>
      </c>
      <c r="O763" s="47">
        <f t="shared" si="188"/>
        <v>0</v>
      </c>
      <c r="P763" s="47">
        <f t="shared" si="189"/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160370</v>
      </c>
      <c r="T763" s="47">
        <f t="shared" ca="1" si="190"/>
        <v>40.314228255404728</v>
      </c>
      <c r="U763" s="47">
        <f t="shared" ca="1" si="191"/>
        <v>40.314228255404728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68">
        <v>0</v>
      </c>
      <c r="M764" s="49">
        <v>0</v>
      </c>
      <c r="N764" s="49">
        <v>0</v>
      </c>
      <c r="O764" s="49">
        <f t="shared" si="188"/>
        <v>0</v>
      </c>
      <c r="P764" s="49">
        <f t="shared" si="189"/>
        <v>0</v>
      </c>
      <c r="Q764" s="49">
        <v>0</v>
      </c>
      <c r="R764" s="49">
        <v>0</v>
      </c>
      <c r="S764" s="49">
        <v>0</v>
      </c>
      <c r="T764" s="49">
        <f t="shared" si="190"/>
        <v>0</v>
      </c>
      <c r="U764" s="49">
        <f t="shared" si="191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67">
        <v>0</v>
      </c>
      <c r="M765" s="47">
        <v>0</v>
      </c>
      <c r="N765" s="47">
        <v>0</v>
      </c>
      <c r="O765" s="47">
        <f t="shared" si="188"/>
        <v>0</v>
      </c>
      <c r="P765" s="47">
        <f t="shared" si="189"/>
        <v>0</v>
      </c>
      <c r="Q765" s="47">
        <f ca="1">IFERROR(__xludf.DUMMYFUNCTION("IMPORTRANGE(""https://docs.google.com/spreadsheets/d/1ItG2mGa2ceCfYo0BwxsXqNm01IGEUdYcSSLTEv9YCik/edit?usp=sharing"",""เบิกจ่ายกองทุน!U82"")"),397800)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IFERROR(__xludf.DUMMYFUNCTION("IMPORTRANGE(""https://docs.google.com/spreadsheets/d/1ItG2mGa2ceCfYo0BwxsXqNm01IGEUdYcSSLTEv9YCik/edit?usp=sharing"",""เบิกจ่ายกองทุน!V82"")"),397800)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IFERROR(__xludf.DUMMYFUNCTION("IMPORTRANGE(""https://docs.google.com/spreadsheets/d/1ItG2mGa2ceCfYo0BwxsXqNm01IGEUdYcSSLTEv9YCik/edit?usp=sharing"",""เบิกจ่ายกองทุน!W82"")"),160370)</f>
        <v>160370</v>
      </c>
      <c r="T765" s="47">
        <f t="shared" ca="1" si="190"/>
        <v>40.314228255404728</v>
      </c>
      <c r="U765" s="47">
        <f t="shared" ca="1" si="191"/>
        <v>40.314228255404728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67">
        <f>L767+L768</f>
        <v>0</v>
      </c>
      <c r="M766" s="47">
        <f>M767+M768</f>
        <v>0</v>
      </c>
      <c r="N766" s="47">
        <f>N767+N768</f>
        <v>0</v>
      </c>
      <c r="O766" s="47">
        <f t="shared" si="188"/>
        <v>0</v>
      </c>
      <c r="P766" s="47">
        <f t="shared" si="189"/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 t="shared" si="190"/>
        <v>0</v>
      </c>
      <c r="U766" s="47">
        <f t="shared" si="191"/>
        <v>0</v>
      </c>
    </row>
    <row r="767" spans="1:21" ht="18.75" hidden="1" x14ac:dyDescent="0.25">
      <c r="A767" s="128"/>
      <c r="B767" s="159"/>
      <c r="C767" s="159"/>
      <c r="D767" s="159"/>
      <c r="E767" s="326" t="s">
        <v>20</v>
      </c>
      <c r="F767" s="41"/>
      <c r="G767" s="43"/>
      <c r="H767" s="160" t="s">
        <v>14</v>
      </c>
      <c r="I767" s="135"/>
      <c r="J767" s="135"/>
      <c r="K767" s="136"/>
      <c r="L767" s="468">
        <v>0</v>
      </c>
      <c r="M767" s="49">
        <v>0</v>
      </c>
      <c r="N767" s="49">
        <v>0</v>
      </c>
      <c r="O767" s="49">
        <f t="shared" si="188"/>
        <v>0</v>
      </c>
      <c r="P767" s="49">
        <f t="shared" si="189"/>
        <v>0</v>
      </c>
      <c r="Q767" s="49">
        <v>0</v>
      </c>
      <c r="R767" s="49">
        <v>0</v>
      </c>
      <c r="S767" s="49">
        <v>0</v>
      </c>
      <c r="T767" s="49">
        <f t="shared" si="190"/>
        <v>0</v>
      </c>
      <c r="U767" s="49">
        <f t="shared" si="191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67">
        <v>0</v>
      </c>
      <c r="M768" s="47">
        <v>0</v>
      </c>
      <c r="N768" s="47">
        <v>0</v>
      </c>
      <c r="O768" s="47">
        <f t="shared" si="188"/>
        <v>0</v>
      </c>
      <c r="P768" s="47">
        <f t="shared" si="189"/>
        <v>0</v>
      </c>
      <c r="Q768" s="47">
        <v>0</v>
      </c>
      <c r="R768" s="47">
        <v>0</v>
      </c>
      <c r="S768" s="47">
        <v>0</v>
      </c>
      <c r="T768" s="47">
        <f t="shared" si="190"/>
        <v>0</v>
      </c>
      <c r="U768" s="47">
        <f t="shared" si="191"/>
        <v>0</v>
      </c>
    </row>
    <row r="769" spans="1:21" ht="19.5" x14ac:dyDescent="0.3">
      <c r="A769" s="138"/>
      <c r="B769" s="139"/>
      <c r="C769" s="448" t="s">
        <v>18</v>
      </c>
      <c r="D769" s="466" t="s">
        <v>38</v>
      </c>
      <c r="E769" s="212"/>
      <c r="F769" s="141"/>
      <c r="G769" s="142"/>
      <c r="H769" s="189"/>
      <c r="I769" s="45"/>
      <c r="J769" s="45"/>
      <c r="K769" s="46"/>
      <c r="L769" s="465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389" t="s">
        <v>286</v>
      </c>
      <c r="E770" s="139"/>
      <c r="F770" s="145"/>
      <c r="G770" s="143"/>
      <c r="H770" s="387" t="s">
        <v>35</v>
      </c>
      <c r="I770" s="327">
        <f ca="1">IFERROR(__xludf.DUMMYFUNCTION("IMPORTRANGE(""https://docs.google.com/spreadsheets/d/1eHaY18a8A9IcSdp1K8H6x8fbOy06t2VsZHhMHf-1x7Y/edit?usp=sharing"",""แผน!FI82"")"),0)</f>
        <v>0</v>
      </c>
      <c r="J770" s="327">
        <v>0</v>
      </c>
      <c r="K770" s="49">
        <f ca="1">IF(I770&gt;0,J770*100/I770,0)</f>
        <v>0</v>
      </c>
      <c r="L770" s="465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389" t="s">
        <v>287</v>
      </c>
      <c r="E771" s="139"/>
      <c r="F771" s="145"/>
      <c r="G771" s="143"/>
      <c r="H771" s="189"/>
      <c r="I771" s="45"/>
      <c r="J771" s="45"/>
      <c r="K771" s="46"/>
      <c r="L771" s="465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22" t="s">
        <v>288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465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22" t="s">
        <v>289</v>
      </c>
      <c r="E773" s="139"/>
      <c r="F773" s="145"/>
      <c r="G773" s="143"/>
      <c r="H773" s="189"/>
      <c r="I773" s="45"/>
      <c r="J773" s="45"/>
      <c r="K773" s="46"/>
      <c r="L773" s="465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22" t="s">
        <v>290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465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2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465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46">
        <v>0</v>
      </c>
      <c r="K776" s="4"/>
      <c r="L776" s="46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463" t="s">
        <v>291</v>
      </c>
      <c r="B777" s="451"/>
      <c r="C777" s="451"/>
      <c r="D777" s="450"/>
      <c r="E777" s="451"/>
      <c r="F777" s="451"/>
      <c r="G777" s="452"/>
      <c r="H777" s="46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54"/>
      <c r="J777" s="455"/>
      <c r="K777" s="456"/>
      <c r="L777" s="456"/>
      <c r="M777" s="456"/>
      <c r="N777" s="456"/>
      <c r="O777" s="456"/>
      <c r="P777" s="456"/>
      <c r="Q777" s="456"/>
      <c r="R777" s="456"/>
      <c r="S777" s="456"/>
      <c r="T777" s="456"/>
      <c r="U777" s="456"/>
    </row>
    <row r="778" spans="1:21" ht="18.75" x14ac:dyDescent="0.25">
      <c r="A778" s="40"/>
      <c r="B778" s="48" t="s">
        <v>292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IFERROR(__xludf.DUMMYFUNCTION("IMPORTRANGE(""https://docs.google.com/spreadsheets/d/10OvvATaaLtwErnr3qtWFcTmtbfpFEt5Bsqel9sXx0uE/edit?usp=sharing"",""งานกองทุน!F82"")"),387712.13)</f>
        <v>387712.13</v>
      </c>
      <c r="K778" s="47">
        <f t="shared" ref="K778:K785" ca="1" si="194">IF(I778&gt;0,J778*100/I778,0)</f>
        <v>26.795330681321328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IFERROR(__xludf.DUMMYFUNCTION("IMPORTRANGE(""https://docs.google.com/spreadsheets/d/10OvvATaaLtwErnr3qtWFcTmtbfpFEt5Bsqel9sXx0uE/edit?usp=sharing"",""งานกองทุน!E82"")"),32)</f>
        <v>32</v>
      </c>
      <c r="K779" s="47">
        <f t="shared" ca="1" si="194"/>
        <v>24.615384615384617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293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IFERROR(__xludf.DUMMYFUNCTION("IMPORTRANGE(""https://docs.google.com/spreadsheets/d/10OvvATaaLtwErnr3qtWFcTmtbfpFEt5Bsqel9sXx0uE/edit?usp=sharing"",""งานกองทุน!K82"")"),54383.54)</f>
        <v>54383.54</v>
      </c>
      <c r="K780" s="47">
        <f t="shared" ca="1" si="194"/>
        <v>7.4812834955827956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IFERROR(__xludf.DUMMYFUNCTION("IMPORTRANGE(""https://docs.google.com/spreadsheets/d/10OvvATaaLtwErnr3qtWFcTmtbfpFEt5Bsqel9sXx0uE/edit?usp=sharing"",""งานกองทุน!J82"")"),28)</f>
        <v>28</v>
      </c>
      <c r="K781" s="47">
        <f t="shared" ca="1" si="194"/>
        <v>56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294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t="shared" ca="1" si="194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t="shared" ca="1" si="194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295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t="shared" ca="1" si="194"/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t="shared" ca="1" si="194"/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461" t="s">
        <v>296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461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461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S5:U5"/>
    <mergeCell ref="L4:P4"/>
    <mergeCell ref="Q4:U4"/>
    <mergeCell ref="A5:G6"/>
    <mergeCell ref="I5:K5"/>
    <mergeCell ref="N5:P5"/>
    <mergeCell ref="Q5:R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Alro</dc:creator>
  <cp:lastModifiedBy>Alro</cp:lastModifiedBy>
  <dcterms:created xsi:type="dcterms:W3CDTF">2024-05-02T04:55:32Z</dcterms:created>
  <dcterms:modified xsi:type="dcterms:W3CDTF">2024-05-02T04:58:26Z</dcterms:modified>
</cp:coreProperties>
</file>